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0" windowWidth="24915" windowHeight="11835" tabRatio="776" firstSheet="11" activeTab="17"/>
  </bookViews>
  <sheets>
    <sheet name="1.1 Кач. планирования расходов" sheetId="16" r:id="rId1"/>
    <sheet name="1.2. Качество исполнения КП" sheetId="17" r:id="rId2"/>
    <sheet name="1.3. Доля неиспользованых БА" sheetId="6" r:id="rId3"/>
    <sheet name="1.4 Своевременность принятия БО" sheetId="5" r:id="rId4"/>
    <sheet name="1.5 Несоотв. расч-плат док" sheetId="2" r:id="rId5"/>
    <sheet name="1.6 Доля отклоненных ПГЗ" sheetId="1" r:id="rId6"/>
    <sheet name="1.7. Эффективность исп. МТ " sheetId="7" r:id="rId7"/>
    <sheet name="1.8. Эффект.управл. КЗ" sheetId="10" r:id="rId8"/>
    <sheet name="1.9. Налчие просроч.КЗ" sheetId="11" r:id="rId9"/>
    <sheet name="1.10 Приостановление операций" sheetId="3" r:id="rId10"/>
    <sheet name="2.1. Кач-во пл.пост.налог+ненал" sheetId="9" r:id="rId11"/>
    <sheet name="2.2. Качество администр. ост." sheetId="8" r:id="rId12"/>
    <sheet name="2.3 Кач-во управ. просроч.ДЗ" sheetId="12" r:id="rId13"/>
    <sheet name="3.1 Степень достовер.отчет" sheetId="14" r:id="rId14"/>
    <sheet name="3.2 Нарушение треб. к бюдж.уч." sheetId="15" r:id="rId15"/>
    <sheet name="4 Наличие на сайте ГМУ" sheetId="4" r:id="rId16"/>
    <sheet name="5 Управление активами" sheetId="21" r:id="rId17"/>
    <sheet name="ИТОГИ" sheetId="19" r:id="rId18"/>
  </sheets>
  <definedNames>
    <definedName name="_xlnm._FilterDatabase" localSheetId="10" hidden="1">'2.1. Кач-во пл.пост.налог+ненал'!$A$4:$O$17</definedName>
    <definedName name="_xlnm.Print_Area" localSheetId="0">'1.1 Кач. планирования расходов'!$A$1:$I$24</definedName>
    <definedName name="_xlnm.Print_Area" localSheetId="1">'1.2. Качество исполнения КП'!$A$1:$AQ$24</definedName>
    <definedName name="_xlnm.Print_Area" localSheetId="2">'1.3. Доля неиспользованых БА'!$A$1:$I$24</definedName>
    <definedName name="_xlnm.Print_Area" localSheetId="10">'2.1. Кач-во пл.пост.налог+ненал'!$A$1:$I$19</definedName>
    <definedName name="_xlnm.Print_Area" localSheetId="17">ИТОГИ!$A$1:$W$23</definedName>
  </definedNames>
  <calcPr calcId="145621" iterateDelta="1E-4"/>
</workbook>
</file>

<file path=xl/calcChain.xml><?xml version="1.0" encoding="utf-8"?>
<calcChain xmlns="http://schemas.openxmlformats.org/spreadsheetml/2006/main">
  <c r="V6" i="19" l="1"/>
  <c r="AQ5" i="19"/>
  <c r="AR6" i="19"/>
  <c r="AR11" i="19"/>
  <c r="AQ11" i="19"/>
  <c r="Z11" i="19"/>
  <c r="AU5" i="19"/>
  <c r="AS5" i="19"/>
  <c r="AP5" i="19"/>
  <c r="AO5" i="19"/>
  <c r="AR5" i="19"/>
  <c r="O7" i="19"/>
  <c r="AE16" i="17" l="1"/>
  <c r="AE9" i="17"/>
  <c r="AO7" i="17"/>
  <c r="G6" i="7" l="1"/>
  <c r="G15" i="7"/>
  <c r="K17" i="10"/>
  <c r="J17" i="10"/>
  <c r="G17" i="10"/>
  <c r="J16" i="10"/>
  <c r="K16" i="10" s="1"/>
  <c r="G16" i="10"/>
  <c r="K15" i="10"/>
  <c r="J15" i="10"/>
  <c r="G15" i="10"/>
  <c r="J14" i="10"/>
  <c r="K14" i="10" s="1"/>
  <c r="G14" i="10"/>
  <c r="K13" i="10"/>
  <c r="J13" i="10"/>
  <c r="G13" i="10"/>
  <c r="J12" i="10"/>
  <c r="K12" i="10" s="1"/>
  <c r="G12" i="10"/>
  <c r="K11" i="10"/>
  <c r="J11" i="10"/>
  <c r="G11" i="10"/>
  <c r="J10" i="10"/>
  <c r="K10" i="10" s="1"/>
  <c r="G10" i="10"/>
  <c r="K9" i="10"/>
  <c r="J9" i="10"/>
  <c r="G9" i="10"/>
  <c r="J8" i="10"/>
  <c r="K8" i="10" s="1"/>
  <c r="G8" i="10"/>
  <c r="J7" i="10"/>
  <c r="K7" i="10" s="1"/>
  <c r="L7" i="10" s="1"/>
  <c r="G7" i="10"/>
  <c r="K6" i="10"/>
  <c r="J6" i="10"/>
  <c r="G6" i="10"/>
  <c r="I18" i="8"/>
  <c r="G18" i="8"/>
  <c r="I17" i="8"/>
  <c r="G17" i="8"/>
  <c r="I16" i="8"/>
  <c r="G16" i="8"/>
  <c r="I15" i="8"/>
  <c r="G15" i="8"/>
  <c r="I14" i="8"/>
  <c r="G14" i="8"/>
  <c r="I13" i="8"/>
  <c r="G13" i="8"/>
  <c r="I12" i="8"/>
  <c r="G12" i="8"/>
  <c r="I11" i="8"/>
  <c r="G11" i="8"/>
  <c r="I10" i="8"/>
  <c r="G10" i="8"/>
  <c r="I9" i="8"/>
  <c r="G9" i="8"/>
  <c r="I8" i="8"/>
  <c r="G8" i="8"/>
  <c r="I7" i="8"/>
  <c r="G7" i="8"/>
  <c r="I7" i="6" l="1"/>
  <c r="H8" i="6"/>
  <c r="G7" i="6"/>
  <c r="G12" i="16" l="1"/>
  <c r="L7" i="6"/>
  <c r="H6" i="2"/>
  <c r="G8" i="6"/>
  <c r="G9" i="6"/>
  <c r="G10" i="6"/>
  <c r="G11" i="6"/>
  <c r="G12" i="6"/>
  <c r="G13" i="6"/>
  <c r="G14" i="6"/>
  <c r="G15" i="6"/>
  <c r="G16" i="6"/>
  <c r="G17" i="6"/>
  <c r="G18" i="6"/>
  <c r="I7" i="16" l="1"/>
  <c r="H7" i="16"/>
  <c r="H8" i="16"/>
  <c r="H9" i="16"/>
  <c r="H12" i="16"/>
  <c r="H13" i="16"/>
  <c r="H14" i="16"/>
  <c r="H15" i="16"/>
  <c r="H16" i="16"/>
  <c r="H17" i="16"/>
  <c r="H18" i="16"/>
  <c r="AN13" i="17" l="1"/>
  <c r="AK8" i="17"/>
  <c r="AK9" i="17"/>
  <c r="AK11" i="17"/>
  <c r="AK12" i="17"/>
  <c r="AK13" i="17"/>
  <c r="AK18" i="17"/>
  <c r="AH8" i="17"/>
  <c r="AH10" i="17"/>
  <c r="AH11" i="17"/>
  <c r="AH12" i="17"/>
  <c r="AE12" i="17"/>
  <c r="AE14" i="17"/>
  <c r="AE15" i="17"/>
  <c r="AE17" i="17"/>
  <c r="AE18" i="17"/>
  <c r="AB8" i="17"/>
  <c r="AB9" i="17"/>
  <c r="AB11" i="17"/>
  <c r="AB12" i="17"/>
  <c r="AB13" i="17"/>
  <c r="AB14" i="17"/>
  <c r="AB15" i="17"/>
  <c r="AB17" i="17"/>
  <c r="AB18" i="17"/>
  <c r="Y8" i="17"/>
  <c r="Y10" i="17"/>
  <c r="Y12" i="17"/>
  <c r="Y13" i="17"/>
  <c r="Y15" i="17"/>
  <c r="Y16" i="17"/>
  <c r="Y18" i="17"/>
  <c r="V9" i="17"/>
  <c r="V12" i="17"/>
  <c r="V13" i="17"/>
  <c r="V16" i="17"/>
  <c r="V17" i="17"/>
  <c r="V18" i="17"/>
  <c r="S9" i="17"/>
  <c r="S11" i="17"/>
  <c r="S13" i="17"/>
  <c r="S14" i="17"/>
  <c r="S15" i="17"/>
  <c r="S16" i="17"/>
  <c r="S17" i="17"/>
  <c r="S18" i="17"/>
  <c r="P15" i="17"/>
  <c r="P16" i="17"/>
  <c r="P17" i="17"/>
  <c r="P18" i="17"/>
  <c r="M8" i="17"/>
  <c r="M9" i="17"/>
  <c r="M12" i="17"/>
  <c r="M13" i="17"/>
  <c r="M18" i="17"/>
  <c r="J8" i="17"/>
  <c r="J9" i="17"/>
  <c r="J10" i="17"/>
  <c r="J12" i="17"/>
  <c r="J13" i="17"/>
  <c r="J15" i="17"/>
  <c r="J16" i="17"/>
  <c r="J18" i="17"/>
  <c r="G8" i="17"/>
  <c r="G9" i="17"/>
  <c r="G10" i="17"/>
  <c r="G11" i="17"/>
  <c r="G12" i="17"/>
  <c r="G13" i="17"/>
  <c r="G14" i="17"/>
  <c r="G15" i="17"/>
  <c r="G16" i="17"/>
  <c r="G17" i="17"/>
  <c r="G18" i="17"/>
  <c r="I18" i="12" l="1"/>
  <c r="H18" i="12"/>
  <c r="G16" i="12"/>
  <c r="G8" i="12"/>
  <c r="I19" i="12" l="1"/>
  <c r="H19" i="12"/>
  <c r="G19" i="12"/>
  <c r="F19" i="12"/>
  <c r="G18" i="12"/>
  <c r="I17" i="12"/>
  <c r="G17" i="12"/>
  <c r="I16" i="12"/>
  <c r="I15" i="12"/>
  <c r="G15" i="12"/>
  <c r="I14" i="12"/>
  <c r="I13" i="12"/>
  <c r="G13" i="12"/>
  <c r="I12" i="12"/>
  <c r="I11" i="12"/>
  <c r="I10" i="12"/>
  <c r="I9" i="12"/>
  <c r="I8" i="12"/>
  <c r="I18" i="14"/>
  <c r="H18" i="14"/>
  <c r="G18" i="14"/>
  <c r="H18" i="15"/>
  <c r="I13" i="4"/>
  <c r="G18" i="15"/>
  <c r="G17" i="15"/>
  <c r="G16" i="15"/>
  <c r="G15" i="15"/>
  <c r="G14" i="15"/>
  <c r="G16" i="4" l="1"/>
  <c r="H16" i="4" s="1"/>
  <c r="G15" i="4"/>
  <c r="H15" i="4" s="1"/>
  <c r="G14" i="4"/>
  <c r="H14" i="4" s="1"/>
  <c r="G13" i="4"/>
  <c r="H13" i="4" s="1"/>
  <c r="G12" i="4"/>
  <c r="H12" i="4" s="1"/>
  <c r="G7" i="4"/>
  <c r="H7" i="4" s="1"/>
  <c r="I9" i="2"/>
  <c r="I8" i="2"/>
  <c r="I7" i="2"/>
  <c r="I6" i="2"/>
  <c r="G17" i="2"/>
  <c r="H17" i="2" s="1"/>
  <c r="I17" i="2" s="1"/>
  <c r="H16" i="2"/>
  <c r="I16" i="2" s="1"/>
  <c r="G16" i="2"/>
  <c r="G15" i="2"/>
  <c r="H15" i="2" s="1"/>
  <c r="I15" i="2" s="1"/>
  <c r="H14" i="2"/>
  <c r="I14" i="2" s="1"/>
  <c r="G14" i="2"/>
  <c r="G13" i="2"/>
  <c r="H13" i="2" s="1"/>
  <c r="I13" i="2" s="1"/>
  <c r="H12" i="2"/>
  <c r="I12" i="2" s="1"/>
  <c r="G12" i="2"/>
  <c r="G11" i="2"/>
  <c r="H11" i="2" s="1"/>
  <c r="I11" i="2" s="1"/>
  <c r="H10" i="2"/>
  <c r="I10" i="2" s="1"/>
  <c r="G10" i="2"/>
  <c r="G9" i="2"/>
  <c r="H9" i="2" s="1"/>
  <c r="H8" i="2"/>
  <c r="G8" i="2"/>
  <c r="G7" i="2"/>
  <c r="H7" i="2" s="1"/>
  <c r="G6" i="2"/>
  <c r="G7" i="1"/>
  <c r="H17" i="1"/>
  <c r="I17" i="1" s="1"/>
  <c r="G17" i="1"/>
  <c r="G16" i="1"/>
  <c r="H16" i="1" s="1"/>
  <c r="I16" i="1" s="1"/>
  <c r="H15" i="1"/>
  <c r="I15" i="1" s="1"/>
  <c r="G15" i="1"/>
  <c r="G14" i="1"/>
  <c r="H14" i="1" s="1"/>
  <c r="I14" i="1" s="1"/>
  <c r="H13" i="1"/>
  <c r="I13" i="1" s="1"/>
  <c r="G13" i="1"/>
  <c r="G12" i="1"/>
  <c r="H12" i="1" s="1"/>
  <c r="I12" i="1" s="1"/>
  <c r="H11" i="1"/>
  <c r="I11" i="1" s="1"/>
  <c r="G11" i="1"/>
  <c r="G10" i="1"/>
  <c r="H10" i="1" s="1"/>
  <c r="I10" i="1" s="1"/>
  <c r="H9" i="1"/>
  <c r="I9" i="1" s="1"/>
  <c r="G9" i="1"/>
  <c r="G8" i="1"/>
  <c r="H8" i="1" s="1"/>
  <c r="I8" i="1" s="1"/>
  <c r="H7" i="1"/>
  <c r="I7" i="1" s="1"/>
  <c r="G6" i="1"/>
  <c r="H6" i="1" s="1"/>
  <c r="I6" i="1" s="1"/>
  <c r="G20" i="5"/>
  <c r="I18" i="5"/>
  <c r="I17" i="5"/>
  <c r="G17" i="5"/>
  <c r="I16" i="5"/>
  <c r="G16" i="5"/>
  <c r="I15" i="5"/>
  <c r="G15" i="5"/>
  <c r="I14" i="5"/>
  <c r="G14" i="5"/>
  <c r="I13" i="5"/>
  <c r="G13" i="5"/>
  <c r="I12" i="5"/>
  <c r="G12" i="5"/>
  <c r="I11" i="5"/>
  <c r="G11" i="5"/>
  <c r="I10" i="5"/>
  <c r="G10" i="5"/>
  <c r="I9" i="5"/>
  <c r="G9" i="5"/>
  <c r="I8" i="5"/>
  <c r="G8" i="5"/>
  <c r="I7" i="5"/>
  <c r="G7" i="5"/>
  <c r="I6" i="5"/>
  <c r="G6" i="5"/>
  <c r="AV6" i="19" l="1"/>
  <c r="AV7" i="19"/>
  <c r="AV8" i="19"/>
  <c r="AV9" i="19"/>
  <c r="AV10" i="19"/>
  <c r="AV11" i="19"/>
  <c r="AV12" i="19"/>
  <c r="AV13" i="19"/>
  <c r="AV14" i="19"/>
  <c r="AV15" i="19"/>
  <c r="AV16" i="19"/>
  <c r="AV5" i="19"/>
  <c r="AU7" i="19"/>
  <c r="AU8" i="19"/>
  <c r="AU9" i="19"/>
  <c r="AU10" i="19"/>
  <c r="AU16" i="19"/>
  <c r="AT7" i="19"/>
  <c r="AT8" i="19"/>
  <c r="AT9" i="19"/>
  <c r="AT10" i="19"/>
  <c r="AT11" i="19"/>
  <c r="AT15" i="19"/>
  <c r="AT16" i="19"/>
  <c r="AT5" i="19"/>
  <c r="AS7" i="19"/>
  <c r="AS8" i="19"/>
  <c r="AS9" i="19"/>
  <c r="AS10" i="19"/>
  <c r="AS11" i="19"/>
  <c r="AS15" i="19"/>
  <c r="AS16" i="19"/>
  <c r="U7" i="19" l="1"/>
  <c r="U8" i="19"/>
  <c r="U9" i="19"/>
  <c r="U10" i="19"/>
  <c r="U11" i="19"/>
  <c r="U12" i="19"/>
  <c r="U13" i="19"/>
  <c r="U14" i="19"/>
  <c r="U15" i="19"/>
  <c r="U16" i="19"/>
  <c r="U5" i="19"/>
  <c r="H19" i="8" l="1"/>
  <c r="H20" i="8" s="1"/>
  <c r="I19" i="8"/>
  <c r="I20" i="8"/>
  <c r="F17" i="7"/>
  <c r="H17" i="7"/>
  <c r="H18" i="7"/>
  <c r="F19" i="16" l="1"/>
  <c r="E18" i="21" l="1"/>
  <c r="F18" i="21" s="1"/>
  <c r="F17" i="21"/>
  <c r="G17" i="21" s="1"/>
  <c r="F16" i="21"/>
  <c r="G16" i="21" s="1"/>
  <c r="F15" i="21"/>
  <c r="G15" i="21" s="1"/>
  <c r="F14" i="21"/>
  <c r="G14" i="21" s="1"/>
  <c r="F13" i="21"/>
  <c r="G13" i="21" s="1"/>
  <c r="F12" i="21"/>
  <c r="G12" i="21" s="1"/>
  <c r="F11" i="21"/>
  <c r="G11" i="21" s="1"/>
  <c r="F10" i="21"/>
  <c r="G10" i="21" s="1"/>
  <c r="F9" i="21"/>
  <c r="G9" i="21" s="1"/>
  <c r="F8" i="21"/>
  <c r="G8" i="21" s="1"/>
  <c r="F7" i="21"/>
  <c r="G7" i="21" s="1"/>
  <c r="H7" i="21" s="1"/>
  <c r="U6" i="19" s="1"/>
  <c r="U17" i="19" s="1"/>
  <c r="U18" i="19" s="1"/>
  <c r="F6" i="21"/>
  <c r="G6" i="21" s="1"/>
  <c r="AN6" i="19" l="1"/>
  <c r="AN7" i="19"/>
  <c r="AN8" i="19"/>
  <c r="AN9" i="19"/>
  <c r="AN10" i="19"/>
  <c r="AN11" i="19"/>
  <c r="AN12" i="19"/>
  <c r="AN13" i="19"/>
  <c r="AN14" i="19"/>
  <c r="AN15" i="19"/>
  <c r="AN16" i="19"/>
  <c r="AH7" i="19"/>
  <c r="AN5" i="19"/>
  <c r="AT8" i="17" l="1"/>
  <c r="AT9" i="17"/>
  <c r="AT10" i="17"/>
  <c r="AT11" i="17"/>
  <c r="AT12" i="17"/>
  <c r="AT13" i="17"/>
  <c r="AT14" i="17"/>
  <c r="AT15" i="17"/>
  <c r="AT16" i="17"/>
  <c r="AT17" i="17"/>
  <c r="AT18" i="17"/>
  <c r="AT7" i="17"/>
  <c r="AS9" i="17"/>
  <c r="AS10" i="17"/>
  <c r="AS11" i="17"/>
  <c r="AS12" i="17"/>
  <c r="AS13" i="17"/>
  <c r="AS14" i="17"/>
  <c r="AS15" i="17"/>
  <c r="AS16" i="17"/>
  <c r="AS17" i="17"/>
  <c r="AS18" i="17"/>
  <c r="AS8" i="17"/>
  <c r="AS7" i="17"/>
  <c r="J7" i="17"/>
  <c r="G7" i="17"/>
  <c r="AK7" i="17"/>
  <c r="AO12" i="17"/>
  <c r="AP12" i="17" s="1"/>
  <c r="AB7" i="17"/>
  <c r="Y7" i="17"/>
  <c r="S7" i="17"/>
  <c r="AO14" i="17"/>
  <c r="AP14" i="17" s="1"/>
  <c r="AO15" i="17"/>
  <c r="AP15" i="17" s="1"/>
  <c r="AO8" i="17"/>
  <c r="AP8" i="17" s="1"/>
  <c r="AO9" i="17" l="1"/>
  <c r="AP9" i="17" s="1"/>
  <c r="AQ9" i="17" s="1"/>
  <c r="F7" i="19" s="1"/>
  <c r="Y7" i="19" s="1"/>
  <c r="AO17" i="17"/>
  <c r="AP17" i="17" s="1"/>
  <c r="AO13" i="17"/>
  <c r="AP13" i="17" s="1"/>
  <c r="AO11" i="17"/>
  <c r="AP11" i="17" s="1"/>
  <c r="AQ11" i="17" s="1"/>
  <c r="F9" i="19" s="1"/>
  <c r="Y9" i="19" s="1"/>
  <c r="AO18" i="17"/>
  <c r="AP18" i="17" s="1"/>
  <c r="AQ18" i="17" s="1"/>
  <c r="F16" i="19" s="1"/>
  <c r="Y16" i="19" s="1"/>
  <c r="AO16" i="17"/>
  <c r="AP16" i="17" s="1"/>
  <c r="AO10" i="17"/>
  <c r="AP10" i="17" s="1"/>
  <c r="AQ10" i="17" s="1"/>
  <c r="F8" i="19" s="1"/>
  <c r="AP7" i="17"/>
  <c r="F19" i="17"/>
  <c r="H19" i="17"/>
  <c r="I19" i="17"/>
  <c r="K19" i="17"/>
  <c r="L19" i="17"/>
  <c r="N19" i="17"/>
  <c r="O19" i="17"/>
  <c r="Q19" i="17"/>
  <c r="R19" i="17"/>
  <c r="T19" i="17"/>
  <c r="U19" i="17"/>
  <c r="W19" i="17"/>
  <c r="X19" i="17"/>
  <c r="Z19" i="17"/>
  <c r="AA19" i="17"/>
  <c r="AC19" i="17"/>
  <c r="AD19" i="17"/>
  <c r="AF19" i="17"/>
  <c r="AG19" i="17"/>
  <c r="AI19" i="17"/>
  <c r="AJ19" i="17"/>
  <c r="AL19" i="17"/>
  <c r="AM19" i="17"/>
  <c r="G18" i="11"/>
  <c r="T7" i="19"/>
  <c r="AM7" i="19" s="1"/>
  <c r="T8" i="19"/>
  <c r="AM8" i="19" s="1"/>
  <c r="T9" i="19"/>
  <c r="AM9" i="19" s="1"/>
  <c r="T10" i="19"/>
  <c r="AM10" i="19" s="1"/>
  <c r="T16" i="19"/>
  <c r="AM16" i="19" s="1"/>
  <c r="T5" i="19"/>
  <c r="S7" i="19"/>
  <c r="AL7" i="19" s="1"/>
  <c r="S8" i="19"/>
  <c r="AL8" i="19" s="1"/>
  <c r="S9" i="19"/>
  <c r="AL9" i="19" s="1"/>
  <c r="S10" i="19"/>
  <c r="AL10" i="19" s="1"/>
  <c r="S11" i="19"/>
  <c r="AL11" i="19" s="1"/>
  <c r="S12" i="19"/>
  <c r="AL12" i="19" s="1"/>
  <c r="S13" i="19"/>
  <c r="AL13" i="19" s="1"/>
  <c r="S14" i="19"/>
  <c r="AL14" i="19" s="1"/>
  <c r="AS14" i="19" s="1"/>
  <c r="AT14" i="19" s="1"/>
  <c r="S15" i="19"/>
  <c r="AL15" i="19" s="1"/>
  <c r="S16" i="19"/>
  <c r="AL16" i="19" s="1"/>
  <c r="S5" i="19"/>
  <c r="R6" i="19"/>
  <c r="AK6" i="19" s="1"/>
  <c r="R7" i="19"/>
  <c r="AK7" i="19" s="1"/>
  <c r="R8" i="19"/>
  <c r="AK8" i="19" s="1"/>
  <c r="R9" i="19"/>
  <c r="AK9" i="19" s="1"/>
  <c r="R10" i="19"/>
  <c r="AK10" i="19" s="1"/>
  <c r="R11" i="19"/>
  <c r="AK11" i="19" s="1"/>
  <c r="R12" i="19"/>
  <c r="AK12" i="19" s="1"/>
  <c r="AS12" i="19" s="1"/>
  <c r="AT12" i="19" s="1"/>
  <c r="R13" i="19"/>
  <c r="AK13" i="19" s="1"/>
  <c r="R14" i="19"/>
  <c r="AK14" i="19" s="1"/>
  <c r="R15" i="19"/>
  <c r="AK15" i="19" s="1"/>
  <c r="R16" i="19"/>
  <c r="AK16" i="19" s="1"/>
  <c r="R5" i="19"/>
  <c r="Q5" i="19"/>
  <c r="M6" i="19"/>
  <c r="AF6" i="19" s="1"/>
  <c r="M7" i="19"/>
  <c r="AF7" i="19" s="1"/>
  <c r="M8" i="19"/>
  <c r="AF8" i="19" s="1"/>
  <c r="M9" i="19"/>
  <c r="AF9" i="19" s="1"/>
  <c r="M10" i="19"/>
  <c r="AF10" i="19" s="1"/>
  <c r="M11" i="19"/>
  <c r="AF11" i="19" s="1"/>
  <c r="M12" i="19"/>
  <c r="AF12" i="19" s="1"/>
  <c r="M13" i="19"/>
  <c r="AF13" i="19" s="1"/>
  <c r="M14" i="19"/>
  <c r="AF14" i="19" s="1"/>
  <c r="M15" i="19"/>
  <c r="AF15" i="19" s="1"/>
  <c r="M16" i="19"/>
  <c r="AF16" i="19" s="1"/>
  <c r="M5" i="19"/>
  <c r="L7" i="19"/>
  <c r="AE7" i="19" s="1"/>
  <c r="L8" i="19"/>
  <c r="AE8" i="19" s="1"/>
  <c r="L9" i="19"/>
  <c r="AE9" i="19" s="1"/>
  <c r="L10" i="19"/>
  <c r="AE10" i="19" s="1"/>
  <c r="L11" i="19"/>
  <c r="AE11" i="19" s="1"/>
  <c r="L12" i="19"/>
  <c r="AE12" i="19" s="1"/>
  <c r="L13" i="19"/>
  <c r="AE13" i="19" s="1"/>
  <c r="L14" i="19"/>
  <c r="AE14" i="19" s="1"/>
  <c r="L15" i="19"/>
  <c r="AE15" i="19" s="1"/>
  <c r="L16" i="19"/>
  <c r="AE16" i="19" s="1"/>
  <c r="L5" i="19"/>
  <c r="AQ15" i="17"/>
  <c r="F13" i="19" s="1"/>
  <c r="Y13" i="19" s="1"/>
  <c r="E19" i="17"/>
  <c r="AQ17" i="17"/>
  <c r="F15" i="19" s="1"/>
  <c r="Y15" i="19" s="1"/>
  <c r="AQ16" i="17"/>
  <c r="F14" i="19" s="1"/>
  <c r="Y14" i="19" s="1"/>
  <c r="AQ14" i="17"/>
  <c r="F12" i="19" s="1"/>
  <c r="Y12" i="19" s="1"/>
  <c r="AQ13" i="17"/>
  <c r="F11" i="19" s="1"/>
  <c r="Y11" i="19" s="1"/>
  <c r="AQ12" i="17"/>
  <c r="F10" i="19" s="1"/>
  <c r="Y10" i="19" s="1"/>
  <c r="AQ7" i="17"/>
  <c r="Y8" i="19" l="1"/>
  <c r="V8" i="19"/>
  <c r="AP19" i="17"/>
  <c r="AP20" i="17" s="1"/>
  <c r="AS13" i="19"/>
  <c r="AT13" i="19" s="1"/>
  <c r="AE5" i="19"/>
  <c r="AK5" i="19"/>
  <c r="R17" i="19"/>
  <c r="R18" i="19" s="1"/>
  <c r="AM5" i="19"/>
  <c r="AL5" i="19"/>
  <c r="AJ5" i="19"/>
  <c r="AF5" i="19"/>
  <c r="M17" i="19"/>
  <c r="M18" i="19" s="1"/>
  <c r="F5" i="19"/>
  <c r="Y5" i="19" s="1"/>
  <c r="AS19" i="17"/>
  <c r="AT19" i="17"/>
  <c r="AQ8" i="17"/>
  <c r="F6" i="19" s="1"/>
  <c r="Y6" i="19" s="1"/>
  <c r="G8" i="16"/>
  <c r="I8" i="16" s="1"/>
  <c r="E6" i="19" s="1"/>
  <c r="X6" i="19" s="1"/>
  <c r="G9" i="16"/>
  <c r="I9" i="16" s="1"/>
  <c r="E7" i="19" s="1"/>
  <c r="X7" i="19" s="1"/>
  <c r="G10" i="16"/>
  <c r="G11" i="16"/>
  <c r="I12" i="16"/>
  <c r="E10" i="19" s="1"/>
  <c r="X10" i="19" s="1"/>
  <c r="G13" i="16"/>
  <c r="I13" i="16" s="1"/>
  <c r="E11" i="19" s="1"/>
  <c r="X11" i="19" s="1"/>
  <c r="G14" i="16"/>
  <c r="I14" i="16" s="1"/>
  <c r="E12" i="19" s="1"/>
  <c r="X12" i="19" s="1"/>
  <c r="G15" i="16"/>
  <c r="I15" i="16" s="1"/>
  <c r="E13" i="19" s="1"/>
  <c r="X13" i="19" s="1"/>
  <c r="G16" i="16"/>
  <c r="I16" i="16" s="1"/>
  <c r="E14" i="19" s="1"/>
  <c r="X14" i="19" s="1"/>
  <c r="G17" i="16"/>
  <c r="I17" i="16" s="1"/>
  <c r="E15" i="19" s="1"/>
  <c r="X15" i="19" s="1"/>
  <c r="G18" i="16"/>
  <c r="I18" i="16" s="1"/>
  <c r="E16" i="19" s="1"/>
  <c r="X16" i="19" s="1"/>
  <c r="G7" i="16"/>
  <c r="I11" i="16" l="1"/>
  <c r="E9" i="19" s="1"/>
  <c r="X9" i="19" s="1"/>
  <c r="H11" i="16"/>
  <c r="I10" i="16"/>
  <c r="E8" i="19" s="1"/>
  <c r="X8" i="19" s="1"/>
  <c r="H10" i="16"/>
  <c r="AQ19" i="17"/>
  <c r="AQ20" i="17" s="1"/>
  <c r="G19" i="16"/>
  <c r="G20" i="16" s="1"/>
  <c r="F17" i="19"/>
  <c r="F18" i="19" s="1"/>
  <c r="E19" i="16"/>
  <c r="H19" i="16" l="1"/>
  <c r="H20" i="16" s="1"/>
  <c r="F7" i="15"/>
  <c r="H7" i="15" s="1"/>
  <c r="S6" i="19" s="1"/>
  <c r="F8" i="15"/>
  <c r="F9" i="15"/>
  <c r="F10" i="15"/>
  <c r="F11" i="15"/>
  <c r="F12" i="15"/>
  <c r="F13" i="15"/>
  <c r="F18" i="15" s="1"/>
  <c r="F14" i="15"/>
  <c r="F15" i="15"/>
  <c r="F16" i="15"/>
  <c r="F17" i="15"/>
  <c r="F6" i="15"/>
  <c r="E18" i="15"/>
  <c r="H8" i="14"/>
  <c r="H10" i="14"/>
  <c r="H12" i="14"/>
  <c r="H16" i="14"/>
  <c r="H6" i="14"/>
  <c r="F18" i="14"/>
  <c r="E18" i="14"/>
  <c r="H17" i="14"/>
  <c r="H15" i="14"/>
  <c r="H11" i="14"/>
  <c r="H9" i="14"/>
  <c r="F18" i="4"/>
  <c r="E18" i="4"/>
  <c r="E5" i="19" l="1"/>
  <c r="I19" i="16"/>
  <c r="I20" i="16" s="1"/>
  <c r="AL6" i="19"/>
  <c r="AS6" i="19" s="1"/>
  <c r="AT6" i="19" s="1"/>
  <c r="S17" i="19"/>
  <c r="S18" i="19" s="1"/>
  <c r="Q11" i="19"/>
  <c r="AJ11" i="19" s="1"/>
  <c r="E19" i="12"/>
  <c r="Q16" i="19"/>
  <c r="AJ16" i="19" s="1"/>
  <c r="Q15" i="19"/>
  <c r="AJ15" i="19" s="1"/>
  <c r="Q14" i="19"/>
  <c r="AJ14" i="19" s="1"/>
  <c r="Q13" i="19"/>
  <c r="AJ13" i="19" s="1"/>
  <c r="Q12" i="19"/>
  <c r="AJ12" i="19" s="1"/>
  <c r="Q10" i="19"/>
  <c r="AJ10" i="19" s="1"/>
  <c r="Q9" i="19"/>
  <c r="AJ9" i="19" s="1"/>
  <c r="Q8" i="19"/>
  <c r="AJ8" i="19" s="1"/>
  <c r="Q7" i="19"/>
  <c r="AJ7" i="19" s="1"/>
  <c r="F18" i="11"/>
  <c r="E18" i="11"/>
  <c r="L6" i="19"/>
  <c r="I18" i="10"/>
  <c r="H18" i="10"/>
  <c r="F18" i="10"/>
  <c r="E18" i="10"/>
  <c r="E17" i="19" l="1"/>
  <c r="E18" i="19" s="1"/>
  <c r="X5" i="19"/>
  <c r="AE6" i="19"/>
  <c r="L17" i="19"/>
  <c r="L18" i="19" s="1"/>
  <c r="Q6" i="19"/>
  <c r="J18" i="10"/>
  <c r="J20" i="10" s="1"/>
  <c r="G18" i="10"/>
  <c r="G20" i="10" s="1"/>
  <c r="I16" i="9"/>
  <c r="O16" i="19" s="1"/>
  <c r="AH16" i="19" s="1"/>
  <c r="H17" i="9"/>
  <c r="AJ6" i="19" l="1"/>
  <c r="Q17" i="19"/>
  <c r="Q18" i="19" s="1"/>
  <c r="G5" i="9"/>
  <c r="I6" i="9"/>
  <c r="O6" i="19" s="1"/>
  <c r="AH6" i="19" s="1"/>
  <c r="F17" i="9"/>
  <c r="E17" i="9"/>
  <c r="G7" i="9"/>
  <c r="G8" i="9"/>
  <c r="G9" i="9"/>
  <c r="G10" i="9"/>
  <c r="G11" i="9"/>
  <c r="G12" i="9"/>
  <c r="G13" i="9"/>
  <c r="G14" i="9"/>
  <c r="G15" i="9"/>
  <c r="G16" i="9"/>
  <c r="I15" i="9"/>
  <c r="O15" i="19" s="1"/>
  <c r="AH15" i="19" s="1"/>
  <c r="I14" i="9"/>
  <c r="O14" i="19" s="1"/>
  <c r="AH14" i="19" s="1"/>
  <c r="I13" i="9"/>
  <c r="O13" i="19" s="1"/>
  <c r="AH13" i="19" s="1"/>
  <c r="I12" i="9"/>
  <c r="O12" i="19" s="1"/>
  <c r="AH12" i="19" s="1"/>
  <c r="I11" i="9"/>
  <c r="O11" i="19" s="1"/>
  <c r="AH11" i="19" s="1"/>
  <c r="I10" i="9"/>
  <c r="O10" i="19" s="1"/>
  <c r="AH10" i="19" s="1"/>
  <c r="I9" i="9"/>
  <c r="O9" i="19" s="1"/>
  <c r="AH9" i="19" s="1"/>
  <c r="I8" i="9"/>
  <c r="O8" i="19" s="1"/>
  <c r="AH8" i="19" s="1"/>
  <c r="I7" i="9"/>
  <c r="G6" i="9"/>
  <c r="I5" i="9"/>
  <c r="I17" i="9" l="1"/>
  <c r="O5" i="19"/>
  <c r="G17" i="9"/>
  <c r="F19" i="8"/>
  <c r="E19" i="8"/>
  <c r="P16" i="19"/>
  <c r="AI16" i="19" s="1"/>
  <c r="AQ16" i="19" s="1"/>
  <c r="AR16" i="19" s="1"/>
  <c r="P15" i="19"/>
  <c r="AI15" i="19" s="1"/>
  <c r="AQ15" i="19" s="1"/>
  <c r="AR15" i="19" s="1"/>
  <c r="P14" i="19"/>
  <c r="AI14" i="19" s="1"/>
  <c r="AQ14" i="19" s="1"/>
  <c r="AR14" i="19" s="1"/>
  <c r="P13" i="19"/>
  <c r="AI13" i="19" s="1"/>
  <c r="AQ13" i="19" s="1"/>
  <c r="AR13" i="19" s="1"/>
  <c r="P12" i="19"/>
  <c r="AI12" i="19" s="1"/>
  <c r="AQ12" i="19" s="1"/>
  <c r="AR12" i="19" s="1"/>
  <c r="P11" i="19"/>
  <c r="AI11" i="19" s="1"/>
  <c r="P10" i="19"/>
  <c r="AI10" i="19" s="1"/>
  <c r="AQ10" i="19" s="1"/>
  <c r="AR10" i="19" s="1"/>
  <c r="P9" i="19"/>
  <c r="AI9" i="19" s="1"/>
  <c r="AQ9" i="19" s="1"/>
  <c r="AR9" i="19" s="1"/>
  <c r="P8" i="19"/>
  <c r="AI8" i="19" s="1"/>
  <c r="AQ8" i="19" s="1"/>
  <c r="AR8" i="19" s="1"/>
  <c r="P7" i="19"/>
  <c r="AI7" i="19" s="1"/>
  <c r="AQ7" i="19" s="1"/>
  <c r="AR7" i="19" s="1"/>
  <c r="P6" i="19"/>
  <c r="AI6" i="19" s="1"/>
  <c r="AQ6" i="19" s="1"/>
  <c r="G11" i="7"/>
  <c r="G12" i="7"/>
  <c r="G13" i="7"/>
  <c r="G14" i="7"/>
  <c r="G16" i="7"/>
  <c r="E17" i="7"/>
  <c r="I16" i="7"/>
  <c r="K16" i="19" s="1"/>
  <c r="AD16" i="19" s="1"/>
  <c r="I15" i="7"/>
  <c r="K15" i="19" s="1"/>
  <c r="AD15" i="19" s="1"/>
  <c r="I14" i="7"/>
  <c r="I13" i="7"/>
  <c r="K13" i="19" s="1"/>
  <c r="AD13" i="19" s="1"/>
  <c r="I12" i="7"/>
  <c r="K12" i="19" s="1"/>
  <c r="AD12" i="19" s="1"/>
  <c r="I11" i="7"/>
  <c r="K11" i="19" s="1"/>
  <c r="AD11" i="19" s="1"/>
  <c r="I10" i="7"/>
  <c r="K10" i="19" s="1"/>
  <c r="AD10" i="19" s="1"/>
  <c r="I9" i="7"/>
  <c r="K9" i="19" s="1"/>
  <c r="AD9" i="19" s="1"/>
  <c r="I8" i="7"/>
  <c r="K8" i="19" s="1"/>
  <c r="AD8" i="19" s="1"/>
  <c r="I7" i="7"/>
  <c r="K7" i="19" s="1"/>
  <c r="AD7" i="19" s="1"/>
  <c r="I5" i="7"/>
  <c r="K14" i="19" l="1"/>
  <c r="AD14" i="19" s="1"/>
  <c r="I17" i="7"/>
  <c r="I18" i="7" s="1"/>
  <c r="AH5" i="19"/>
  <c r="O17" i="19"/>
  <c r="O18" i="19" s="1"/>
  <c r="P5" i="19"/>
  <c r="K5" i="19"/>
  <c r="I6" i="7"/>
  <c r="K6" i="19" s="1"/>
  <c r="AD6" i="19" s="1"/>
  <c r="I11" i="6"/>
  <c r="G9" i="19" s="1"/>
  <c r="Z9" i="19" s="1"/>
  <c r="I13" i="6"/>
  <c r="G11" i="19" s="1"/>
  <c r="H15" i="6"/>
  <c r="I15" i="6" s="1"/>
  <c r="G13" i="19" s="1"/>
  <c r="Z13" i="19" s="1"/>
  <c r="I16" i="6"/>
  <c r="G14" i="19" s="1"/>
  <c r="Z14" i="19" s="1"/>
  <c r="I17" i="6"/>
  <c r="G15" i="19" s="1"/>
  <c r="Z15" i="19" s="1"/>
  <c r="G19" i="6"/>
  <c r="G20" i="6" s="1"/>
  <c r="F19" i="6"/>
  <c r="E19" i="6"/>
  <c r="I18" i="6"/>
  <c r="G16" i="19" s="1"/>
  <c r="Z16" i="19" s="1"/>
  <c r="I14" i="6"/>
  <c r="G12" i="19" s="1"/>
  <c r="Z12" i="19" s="1"/>
  <c r="I12" i="6"/>
  <c r="G10" i="19" s="1"/>
  <c r="Z10" i="19" s="1"/>
  <c r="I10" i="6"/>
  <c r="G8" i="19" s="1"/>
  <c r="Z8" i="19" s="1"/>
  <c r="H7" i="19"/>
  <c r="AA7" i="19" s="1"/>
  <c r="H8" i="19"/>
  <c r="AA8" i="19" s="1"/>
  <c r="H9" i="19"/>
  <c r="AA9" i="19" s="1"/>
  <c r="H10" i="19"/>
  <c r="AA10" i="19" s="1"/>
  <c r="H11" i="19"/>
  <c r="AA11" i="19" s="1"/>
  <c r="H12" i="19"/>
  <c r="AA12" i="19" s="1"/>
  <c r="H13" i="19"/>
  <c r="AA13" i="19" s="1"/>
  <c r="H14" i="19"/>
  <c r="AA14" i="19" s="1"/>
  <c r="H15" i="19"/>
  <c r="AA15" i="19" s="1"/>
  <c r="H16" i="19"/>
  <c r="AA16" i="19" s="1"/>
  <c r="H6" i="19"/>
  <c r="AA6" i="19" s="1"/>
  <c r="E18" i="5"/>
  <c r="F18" i="5"/>
  <c r="J12" i="19"/>
  <c r="AC12" i="19" s="1"/>
  <c r="J15" i="19"/>
  <c r="AC15" i="19" s="1"/>
  <c r="J16" i="19"/>
  <c r="AC16" i="19" s="1"/>
  <c r="J7" i="19"/>
  <c r="AC7" i="19" s="1"/>
  <c r="J8" i="19"/>
  <c r="AC8" i="19" s="1"/>
  <c r="J9" i="19"/>
  <c r="AC9" i="19" s="1"/>
  <c r="J10" i="19"/>
  <c r="AC10" i="19" s="1"/>
  <c r="J11" i="19"/>
  <c r="AC11" i="19" s="1"/>
  <c r="J13" i="19"/>
  <c r="AC13" i="19" s="1"/>
  <c r="J14" i="19"/>
  <c r="AC14" i="19" s="1"/>
  <c r="J6" i="19"/>
  <c r="AC6" i="19" s="1"/>
  <c r="G7" i="3"/>
  <c r="H7" i="3" s="1"/>
  <c r="N6" i="19" s="1"/>
  <c r="AG6" i="19" s="1"/>
  <c r="G8" i="3"/>
  <c r="H8" i="3" s="1"/>
  <c r="N7" i="19" s="1"/>
  <c r="AG7" i="19" s="1"/>
  <c r="G9" i="3"/>
  <c r="H9" i="3" s="1"/>
  <c r="N8" i="19" s="1"/>
  <c r="AG8" i="19" s="1"/>
  <c r="G10" i="3"/>
  <c r="H10" i="3" s="1"/>
  <c r="N9" i="19" s="1"/>
  <c r="AG9" i="19" s="1"/>
  <c r="G11" i="3"/>
  <c r="H11" i="3" s="1"/>
  <c r="N10" i="19" s="1"/>
  <c r="AG10" i="19" s="1"/>
  <c r="G12" i="3"/>
  <c r="H12" i="3" s="1"/>
  <c r="N11" i="19" s="1"/>
  <c r="AG11" i="19" s="1"/>
  <c r="G13" i="3"/>
  <c r="H13" i="3" s="1"/>
  <c r="N12" i="19" s="1"/>
  <c r="AG12" i="19" s="1"/>
  <c r="G14" i="3"/>
  <c r="H14" i="3" s="1"/>
  <c r="N13" i="19" s="1"/>
  <c r="AG13" i="19" s="1"/>
  <c r="G15" i="3"/>
  <c r="H15" i="3" s="1"/>
  <c r="N14" i="19" s="1"/>
  <c r="AG14" i="19" s="1"/>
  <c r="G16" i="3"/>
  <c r="H16" i="3" s="1"/>
  <c r="N15" i="19" s="1"/>
  <c r="AG15" i="19" s="1"/>
  <c r="G17" i="3"/>
  <c r="H17" i="3" s="1"/>
  <c r="N16" i="19" s="1"/>
  <c r="AG16" i="19" s="1"/>
  <c r="G6" i="3"/>
  <c r="H6" i="3" s="1"/>
  <c r="I14" i="4"/>
  <c r="T13" i="19" s="1"/>
  <c r="AM13" i="19" s="1"/>
  <c r="AU13" i="19" s="1"/>
  <c r="I15" i="4"/>
  <c r="T14" i="19" s="1"/>
  <c r="AM14" i="19" s="1"/>
  <c r="AU14" i="19" s="1"/>
  <c r="I16" i="4"/>
  <c r="T15" i="19" s="1"/>
  <c r="AM15" i="19" s="1"/>
  <c r="AU15" i="19" s="1"/>
  <c r="T12" i="19"/>
  <c r="AM12" i="19" s="1"/>
  <c r="AU12" i="19" s="1"/>
  <c r="I12" i="4"/>
  <c r="T11" i="19" s="1"/>
  <c r="AM11" i="19" s="1"/>
  <c r="AU11" i="19" s="1"/>
  <c r="F18" i="3"/>
  <c r="F20" i="3" s="1"/>
  <c r="E18" i="3"/>
  <c r="H19" i="6" l="1"/>
  <c r="H20" i="6" s="1"/>
  <c r="AD5" i="19"/>
  <c r="K17" i="19"/>
  <c r="K18" i="19" s="1"/>
  <c r="AI5" i="19"/>
  <c r="P17" i="19"/>
  <c r="P18" i="19" s="1"/>
  <c r="H18" i="3"/>
  <c r="N5" i="19"/>
  <c r="I18" i="1"/>
  <c r="J5" i="19"/>
  <c r="H5" i="19"/>
  <c r="G5" i="19"/>
  <c r="I8" i="6"/>
  <c r="G18" i="4"/>
  <c r="I9" i="6"/>
  <c r="G7" i="19" s="1"/>
  <c r="Z7" i="19" s="1"/>
  <c r="G18" i="5"/>
  <c r="I7" i="4"/>
  <c r="G6" i="19" l="1"/>
  <c r="Z6" i="19" s="1"/>
  <c r="I19" i="6"/>
  <c r="I20" i="6" s="1"/>
  <c r="AA5" i="19"/>
  <c r="H17" i="19"/>
  <c r="H18" i="19" s="1"/>
  <c r="AC5" i="19"/>
  <c r="J17" i="19"/>
  <c r="J18" i="19" s="1"/>
  <c r="AG5" i="19"/>
  <c r="N17" i="19"/>
  <c r="N18" i="19" s="1"/>
  <c r="Z5" i="19"/>
  <c r="T6" i="19"/>
  <c r="I18" i="4"/>
  <c r="G18" i="1"/>
  <c r="G20" i="1" s="1"/>
  <c r="G17" i="19" l="1"/>
  <c r="G18" i="19" s="1"/>
  <c r="AM6" i="19"/>
  <c r="AU6" i="19" s="1"/>
  <c r="T17" i="19"/>
  <c r="T18" i="19" s="1"/>
  <c r="I16" i="19"/>
  <c r="I15" i="19"/>
  <c r="I14" i="19"/>
  <c r="I13" i="19"/>
  <c r="I12" i="19"/>
  <c r="I11" i="19"/>
  <c r="I10" i="19"/>
  <c r="I9" i="19"/>
  <c r="I8" i="19"/>
  <c r="I7" i="19"/>
  <c r="I6" i="19"/>
  <c r="F18" i="2"/>
  <c r="E18" i="2"/>
  <c r="F18" i="1"/>
  <c r="E18" i="1"/>
  <c r="AB6" i="19" l="1"/>
  <c r="AO6" i="19" s="1"/>
  <c r="AP6" i="19" s="1"/>
  <c r="AB8" i="19"/>
  <c r="AO8" i="19" s="1"/>
  <c r="AP8" i="19" s="1"/>
  <c r="V10" i="19"/>
  <c r="AB10" i="19"/>
  <c r="AO10" i="19" s="1"/>
  <c r="AP10" i="19" s="1"/>
  <c r="V12" i="19"/>
  <c r="AB12" i="19"/>
  <c r="AO12" i="19" s="1"/>
  <c r="AP12" i="19" s="1"/>
  <c r="V14" i="19"/>
  <c r="AB14" i="19"/>
  <c r="AO14" i="19" s="1"/>
  <c r="AP14" i="19" s="1"/>
  <c r="V16" i="19"/>
  <c r="AB16" i="19"/>
  <c r="AO16" i="19" s="1"/>
  <c r="AP16" i="19" s="1"/>
  <c r="I5" i="19"/>
  <c r="V5" i="19" s="1"/>
  <c r="AB7" i="19"/>
  <c r="AO7" i="19" s="1"/>
  <c r="AP7" i="19" s="1"/>
  <c r="V7" i="19"/>
  <c r="V9" i="19"/>
  <c r="AB9" i="19"/>
  <c r="AO9" i="19" s="1"/>
  <c r="AP9" i="19" s="1"/>
  <c r="V11" i="19"/>
  <c r="AB11" i="19"/>
  <c r="AO11" i="19" s="1"/>
  <c r="AP11" i="19" s="1"/>
  <c r="V13" i="19"/>
  <c r="AB13" i="19"/>
  <c r="AO13" i="19" s="1"/>
  <c r="AP13" i="19" s="1"/>
  <c r="V15" i="19"/>
  <c r="AB15" i="19"/>
  <c r="AO15" i="19" s="1"/>
  <c r="AP15" i="19" s="1"/>
  <c r="G18" i="2"/>
  <c r="AB5" i="19" l="1"/>
  <c r="I17" i="19"/>
  <c r="I18" i="19" s="1"/>
  <c r="V17" i="19"/>
  <c r="V18" i="19" s="1"/>
</calcChain>
</file>

<file path=xl/sharedStrings.xml><?xml version="1.0" encoding="utf-8"?>
<sst xmlns="http://schemas.openxmlformats.org/spreadsheetml/2006/main" count="1223" uniqueCount="223">
  <si>
    <t>№ п/п</t>
  </si>
  <si>
    <t>ИНН</t>
  </si>
  <si>
    <t>ГРБС</t>
  </si>
  <si>
    <t>Планы-ГРАФИКИ закупок</t>
  </si>
  <si>
    <t>Всего поступило</t>
  </si>
  <si>
    <t>отклонено</t>
  </si>
  <si>
    <t>N</t>
  </si>
  <si>
    <t>No</t>
  </si>
  <si>
    <t>1</t>
  </si>
  <si>
    <t>901</t>
  </si>
  <si>
    <t>2352037768</t>
  </si>
  <si>
    <t xml:space="preserve">СОВЕТ МУНИЦИПАЛЬНОГО ОБРАЗОВАНИЯ </t>
  </si>
  <si>
    <t>902</t>
  </si>
  <si>
    <t>2352023878</t>
  </si>
  <si>
    <t>АДМИНИСТРАЦИЯ МО ТЕМРЮКСКИЙ РАЙОН</t>
  </si>
  <si>
    <t>2</t>
  </si>
  <si>
    <t>3</t>
  </si>
  <si>
    <t>4</t>
  </si>
  <si>
    <t>5</t>
  </si>
  <si>
    <t>6</t>
  </si>
  <si>
    <t>7</t>
  </si>
  <si>
    <t>8</t>
  </si>
  <si>
    <t>905</t>
  </si>
  <si>
    <t>2352045416</t>
  </si>
  <si>
    <t>ФИНАНСОВОЕ УПРАВЛЕНИЕ МОТР</t>
  </si>
  <si>
    <t>908</t>
  </si>
  <si>
    <t>2352050350</t>
  </si>
  <si>
    <t>ОТДЕЛ ВНУТРЕННЕГО ФИНАНСОВОГО КОНТРОЛЯ</t>
  </si>
  <si>
    <t>910</t>
  </si>
  <si>
    <t>2352048079</t>
  </si>
  <si>
    <t xml:space="preserve">КОНТРОЛЬНО-СЧЕТНАЯ ПАЛАТА МУНИЦИПАЛЬНОГО ОБРАЗОВАНИЯ </t>
  </si>
  <si>
    <t>921</t>
  </si>
  <si>
    <t>2352054072</t>
  </si>
  <si>
    <t>УПРАВЛЕНИЕ МУНИЦИПАЛЬНОГО КОНТРОЛЯ</t>
  </si>
  <si>
    <t>924</t>
  </si>
  <si>
    <t>2352050423</t>
  </si>
  <si>
    <t>УКС И ТЭК</t>
  </si>
  <si>
    <t>12</t>
  </si>
  <si>
    <t>2352016528</t>
  </si>
  <si>
    <t>УПРАВЛЕНИЕ ОБРАЗОВАНИЕМ</t>
  </si>
  <si>
    <t>925</t>
  </si>
  <si>
    <t>926</t>
  </si>
  <si>
    <t>2352016510</t>
  </si>
  <si>
    <t>УПРАВЛЕНИЕ КУЛЬТУРЫ</t>
  </si>
  <si>
    <t>929</t>
  </si>
  <si>
    <t>2352046473</t>
  </si>
  <si>
    <t>ОФК И С АДМИНИСТРАЦИИ МОТР.</t>
  </si>
  <si>
    <t>934</t>
  </si>
  <si>
    <t>2352031364</t>
  </si>
  <si>
    <t>ОТДЕЛ ПО ДЕЛАМ МОЛОДЕЖИ</t>
  </si>
  <si>
    <t>953</t>
  </si>
  <si>
    <t>2352045529</t>
  </si>
  <si>
    <t>УПРАВЛЕНИЕ ПО ВОПРОСАМ СЕМЬИ И ДЕТСТВА</t>
  </si>
  <si>
    <t>Заявки на КР</t>
  </si>
  <si>
    <t>E (P)</t>
  </si>
  <si>
    <t>средний показатель</t>
  </si>
  <si>
    <t>P=(No/N)*100, %</t>
  </si>
  <si>
    <t>Вес показателя - 5</t>
  </si>
  <si>
    <t>итого</t>
  </si>
  <si>
    <t>Оценка показателя</t>
  </si>
  <si>
    <t>Приостановление операций по расходованию средств на лицевых счетах ПБС</t>
  </si>
  <si>
    <t>Уведомления о приостановлении операций</t>
  </si>
  <si>
    <t>P=Po</t>
  </si>
  <si>
    <t>P*=10</t>
  </si>
  <si>
    <t>1-(P/P*), если Р&lt;P*                      0, если Р≥P*</t>
  </si>
  <si>
    <r>
      <t>P=(N</t>
    </r>
    <r>
      <rPr>
        <sz val="13.2"/>
        <color theme="1"/>
        <rFont val="Times New Roman"/>
        <family val="1"/>
        <charset val="204"/>
      </rPr>
      <t>i/N)*100</t>
    </r>
  </si>
  <si>
    <t>Наличие на официальном сайте в сети Интернет по размещению информации о муниципальных учреждениях (МУ)</t>
  </si>
  <si>
    <t>Общее количество МУ</t>
  </si>
  <si>
    <t>Ni</t>
  </si>
  <si>
    <t xml:space="preserve">Количество МУ, разместивших сведения </t>
  </si>
  <si>
    <t>не применяется</t>
  </si>
  <si>
    <t>Оценка показателя E (P)</t>
  </si>
  <si>
    <t>Оценка показателя                E (P)</t>
  </si>
  <si>
    <t>Оценка показателя   E (P)</t>
  </si>
  <si>
    <t>Своевременность принятия БО</t>
  </si>
  <si>
    <t>отчётный период</t>
  </si>
  <si>
    <t>Sra</t>
  </si>
  <si>
    <t>Lra</t>
  </si>
  <si>
    <t>P=1-(Sra/Lra)</t>
  </si>
  <si>
    <t>Расчёт показателя</t>
  </si>
  <si>
    <t>Объём поставленных на учёт БО (КРКС 110)</t>
  </si>
  <si>
    <t>Объём ЛБО (КРКС 110)</t>
  </si>
  <si>
    <t>1.4. Своевременность принятия бюджетных обязательств</t>
  </si>
  <si>
    <t>1.6 Доля отклоненных планов-графиков (изменений в планы-графики) закупок, представленных в финансовое управление в рамках возложенных функций по осуществлению контроля в сфере закупок</t>
  </si>
  <si>
    <t>1.10 Приостановление операций по расходованию средств на лицевых счетах подведомственных главному администратору получателей средств районного бюджета в связи с нарушением процедур исполнения судебных актов, предусматривающих обращение взыскания на средства районного бюджета по обязательствам муниципальных казенных учреждений</t>
  </si>
  <si>
    <t>4. Наличие на официальном сайте в сети Интернет по размещению информации о государственных и муниципальных учреждениях (www.bus.gov.ru) сведений о муниципальных учреждениях</t>
  </si>
  <si>
    <t>1-(P/100), если Р≤10%                0, если P&gt;10%</t>
  </si>
  <si>
    <t>1-(P/100) ͣ, если Р≤10% 0, если P&gt;10%</t>
  </si>
  <si>
    <t>1, если Р≤0,1       0 в иных случаях</t>
  </si>
  <si>
    <t>Начальник отдела казначейского контроля                                                                                     С.П. Кириченко</t>
  </si>
  <si>
    <t>Bra</t>
  </si>
  <si>
    <t>Era</t>
  </si>
  <si>
    <t>P=(Bra-Era)/Bra</t>
  </si>
  <si>
    <t>1.7. Эффективность использования межбюджетных трансфертов, имеющих целевое назначение, полученных из краевого бюджета в 2020 году</t>
  </si>
  <si>
    <t>ПЛАН</t>
  </si>
  <si>
    <t>Исполнено</t>
  </si>
  <si>
    <r>
      <t>n</t>
    </r>
    <r>
      <rPr>
        <sz val="8"/>
        <color theme="1"/>
        <rFont val="Times New Roman"/>
        <family val="1"/>
        <charset val="204"/>
      </rPr>
      <t>a</t>
    </r>
  </si>
  <si>
    <r>
      <t>N</t>
    </r>
    <r>
      <rPr>
        <sz val="8"/>
        <color theme="1"/>
        <rFont val="Times New Roman"/>
        <family val="1"/>
        <charset val="204"/>
      </rPr>
      <t>a</t>
    </r>
  </si>
  <si>
    <r>
      <t>P=(N</t>
    </r>
    <r>
      <rPr>
        <sz val="8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>/n</t>
    </r>
    <r>
      <rPr>
        <sz val="8"/>
        <color theme="1"/>
        <rFont val="Times New Roman"/>
        <family val="1"/>
        <charset val="204"/>
      </rPr>
      <t>a</t>
    </r>
    <r>
      <rPr>
        <sz val="12"/>
        <color theme="1"/>
        <rFont val="Times New Roman"/>
        <family val="1"/>
        <charset val="204"/>
      </rPr>
      <t>)*100</t>
    </r>
  </si>
  <si>
    <t>-</t>
  </si>
  <si>
    <r>
      <t>E(P)=   1, если P</t>
    </r>
    <r>
      <rPr>
        <sz val="12"/>
        <color theme="1"/>
        <rFont val="Calibri"/>
        <family val="2"/>
        <charset val="204"/>
      </rPr>
      <t>≥97%</t>
    </r>
    <r>
      <rPr>
        <sz val="12"/>
        <color theme="1"/>
        <rFont val="Times New Roman"/>
        <family val="1"/>
        <charset val="204"/>
      </rPr>
      <t xml:space="preserve"> и 0, если Р≤97%</t>
    </r>
  </si>
  <si>
    <t>ГРБС не получающие МТ из краевого и федерального бюджетов получают максимальное количество баллов, т.к. отсутствуют основания для снижения общего количества баллов.</t>
  </si>
  <si>
    <t>Объем поступлений по возврату целевых остатков прошлых лет в краевой бюджет</t>
  </si>
  <si>
    <t>Объем поступлений</t>
  </si>
  <si>
    <t>Rp1</t>
  </si>
  <si>
    <t>Rj1</t>
  </si>
  <si>
    <t>P=(Rj1/Rp1)*100</t>
  </si>
  <si>
    <r>
      <t>E(P)=   1, если P</t>
    </r>
    <r>
      <rPr>
        <sz val="12"/>
        <color theme="1"/>
        <rFont val="Calibri"/>
        <family val="2"/>
        <charset val="204"/>
      </rPr>
      <t>≥100%</t>
    </r>
    <r>
      <rPr>
        <sz val="12"/>
        <color theme="1"/>
        <rFont val="Times New Roman"/>
        <family val="1"/>
        <charset val="204"/>
      </rPr>
      <t xml:space="preserve"> и 0, если Р≤100%</t>
    </r>
  </si>
  <si>
    <t>Код адм</t>
  </si>
  <si>
    <t>Код адм.</t>
  </si>
  <si>
    <t>R</t>
  </si>
  <si>
    <t>Rn</t>
  </si>
  <si>
    <t>Объем поступлений налоговых и неналоговых доходов</t>
  </si>
  <si>
    <t>Утвержденное бюджетное назначение по налоговым и неналоговым доходам</t>
  </si>
  <si>
    <t>P=(R/Rn)*100</t>
  </si>
  <si>
    <t>Начальник отдела отраслевого финансирования и доходов бюджета</t>
  </si>
  <si>
    <t>Т.В. Грызунок</t>
  </si>
  <si>
    <r>
      <rPr>
        <b/>
        <sz val="10"/>
        <color theme="1"/>
        <rFont val="Times New Roman"/>
        <family val="1"/>
        <charset val="204"/>
      </rPr>
      <t>E(P)= 1</t>
    </r>
    <r>
      <rPr>
        <sz val="10"/>
        <color theme="1"/>
        <rFont val="Times New Roman"/>
        <family val="1"/>
        <charset val="204"/>
      </rPr>
      <t xml:space="preserve">, если 100≤P≤105 либо R=0 (при этом Rn=0)
</t>
    </r>
    <r>
      <rPr>
        <b/>
        <sz val="10"/>
        <color theme="1"/>
        <rFont val="Times New Roman"/>
        <family val="1"/>
        <charset val="204"/>
      </rPr>
      <t>E(P)= 0,5</t>
    </r>
    <r>
      <rPr>
        <sz val="10"/>
        <color theme="1"/>
        <rFont val="Times New Roman"/>
        <family val="1"/>
        <charset val="204"/>
      </rPr>
      <t xml:space="preserve">, если 95≤P&lt;100 либо P&gt;105
либо Rn=0 при этом R&gt;0 или R&lt;0 
</t>
    </r>
    <r>
      <rPr>
        <b/>
        <sz val="10"/>
        <color theme="1"/>
        <rFont val="Times New Roman"/>
        <family val="1"/>
        <charset val="204"/>
      </rPr>
      <t>E(P)= 0</t>
    </r>
    <r>
      <rPr>
        <sz val="10"/>
        <color theme="1"/>
        <rFont val="Times New Roman"/>
        <family val="1"/>
        <charset val="204"/>
      </rPr>
      <t>, если P&lt;95</t>
    </r>
  </si>
  <si>
    <t>Оценка показателя
E (P)</t>
  </si>
  <si>
    <t>1.8. Эффективность управления кредиторской задолженностью по расчетам с поставщиками и подрядчиками</t>
  </si>
  <si>
    <t xml:space="preserve">Кредиторская задолженность </t>
  </si>
  <si>
    <t>фактический объем расходов</t>
  </si>
  <si>
    <t>K</t>
  </si>
  <si>
    <t>Ek</t>
  </si>
  <si>
    <t>P=(K/Ek)*100, %</t>
  </si>
  <si>
    <t>Начальник отдела учета и отчетности                                                                    Е.А.Кучерявых</t>
  </si>
  <si>
    <t>1-(P/100) ͣ, если Р≤1,5% 0, если P&gt;1,5%</t>
  </si>
  <si>
    <t>Объем просроченной кредиторской задолженности</t>
  </si>
  <si>
    <t>E(P)=   1, если P=0 и 0, если Р&gt;0</t>
  </si>
  <si>
    <t>Вес показателя - 10</t>
  </si>
  <si>
    <t>Начальник  отдела учета и отчетности                                                                                                                       Е.А. Кучерявых</t>
  </si>
  <si>
    <t>Просрочееная дебиторская задолженность</t>
  </si>
  <si>
    <t>на начало периода</t>
  </si>
  <si>
    <t>на конец периода</t>
  </si>
  <si>
    <r>
      <t>Dp</t>
    </r>
    <r>
      <rPr>
        <sz val="8"/>
        <color theme="1"/>
        <rFont val="Times New Roman"/>
        <family val="1"/>
        <charset val="204"/>
      </rPr>
      <t>1</t>
    </r>
  </si>
  <si>
    <r>
      <t>Dp</t>
    </r>
    <r>
      <rPr>
        <sz val="8"/>
        <color theme="1"/>
        <rFont val="Times New Roman"/>
        <family val="1"/>
        <charset val="204"/>
      </rPr>
      <t>0</t>
    </r>
  </si>
  <si>
    <t>Начальник  отдела учета и отчетности                                                                                                                                                                          Е.А.Кучерявых</t>
  </si>
  <si>
    <r>
      <t>1, если Р</t>
    </r>
    <r>
      <rPr>
        <sz val="12"/>
        <color theme="1"/>
        <rFont val="Calibri"/>
        <family val="2"/>
        <charset val="204"/>
      </rPr>
      <t>≥</t>
    </r>
    <r>
      <rPr>
        <sz val="13.2"/>
        <color theme="1"/>
        <rFont val="Times New Roman"/>
        <family val="1"/>
        <charset val="204"/>
      </rPr>
      <t>99%</t>
    </r>
    <r>
      <rPr>
        <sz val="12"/>
        <color theme="1"/>
        <rFont val="Times New Roman"/>
        <family val="1"/>
        <charset val="204"/>
      </rPr>
      <t xml:space="preserve">   0, если Р</t>
    </r>
    <r>
      <rPr>
        <sz val="12"/>
        <color theme="1"/>
        <rFont val="Calibri"/>
        <family val="2"/>
        <charset val="204"/>
      </rPr>
      <t>&lt;</t>
    </r>
    <r>
      <rPr>
        <sz val="13.2"/>
        <color theme="1"/>
        <rFont val="Times New Roman"/>
        <family val="1"/>
        <charset val="204"/>
      </rPr>
      <t>99%</t>
    </r>
  </si>
  <si>
    <t xml:space="preserve">3.1  Степень достоверности бюджетной отчетности </t>
  </si>
  <si>
    <t>Sp</t>
  </si>
  <si>
    <t>Eb</t>
  </si>
  <si>
    <t>P=Sp/Eb</t>
  </si>
  <si>
    <t>Оценка показателя   E (P)    0, если Sp ≥ St или P ≥0,1?      Если Sp&lt;St и P&lt;0,1, то по формуле (1-(P/0,1) * (1-(Sp/St))   St = 500  тыс.руб.</t>
  </si>
  <si>
    <t xml:space="preserve">3.2  Нарушение требований к бюджетному учету, в том числе к составлению, представлению бюджетной отчетности </t>
  </si>
  <si>
    <t>Наличие фактов нарушений требований к бюджетному учету</t>
  </si>
  <si>
    <t>Q ot</t>
  </si>
  <si>
    <t>P=Qot</t>
  </si>
  <si>
    <t>Объем изменений СБР</t>
  </si>
  <si>
    <t>Общий объем БА</t>
  </si>
  <si>
    <r>
      <t>S</t>
    </r>
    <r>
      <rPr>
        <sz val="8"/>
        <color theme="1"/>
        <rFont val="Times New Roman"/>
        <family val="1"/>
        <charset val="204"/>
      </rPr>
      <t>1</t>
    </r>
  </si>
  <si>
    <t>b</t>
  </si>
  <si>
    <r>
      <t>P=S</t>
    </r>
    <r>
      <rPr>
        <sz val="8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>/b*100</t>
    </r>
  </si>
  <si>
    <r>
      <t>E(P)=1-(P/100), если Р≤15% и 0, если P</t>
    </r>
    <r>
      <rPr>
        <sz val="12"/>
        <color theme="1"/>
        <rFont val="Calibri"/>
        <family val="2"/>
        <charset val="204"/>
      </rPr>
      <t>&gt;15%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</si>
  <si>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</si>
  <si>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</si>
  <si>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</si>
  <si>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</si>
  <si>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</si>
  <si>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</si>
  <si>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</si>
  <si>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</si>
  <si>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</si>
  <si>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</si>
  <si>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</si>
  <si>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r>
      <t>P=((</t>
    </r>
    <r>
      <rPr>
        <sz val="12"/>
        <color theme="1"/>
        <rFont val="Calibri"/>
        <family val="2"/>
        <charset val="204"/>
      </rPr>
      <t>∑</t>
    </r>
    <r>
      <rPr>
        <sz val="12"/>
        <color theme="1"/>
        <rFont val="Times New Roman"/>
        <family val="1"/>
        <charset val="204"/>
      </rPr>
      <t>mj)/12)*100</t>
    </r>
  </si>
  <si>
    <r>
      <t>E(P)=P/100,  если 97%</t>
    </r>
    <r>
      <rPr>
        <sz val="12"/>
        <color theme="1"/>
        <rFont val="Calibri"/>
        <family val="2"/>
        <charset val="204"/>
      </rPr>
      <t>&gt;</t>
    </r>
    <r>
      <rPr>
        <sz val="12"/>
        <color theme="1"/>
        <rFont val="Times New Roman"/>
        <family val="1"/>
        <charset val="204"/>
      </rPr>
      <t>Р</t>
    </r>
    <r>
      <rPr>
        <sz val="12"/>
        <color theme="1"/>
        <rFont val="Calibri"/>
        <family val="2"/>
        <charset val="204"/>
      </rPr>
      <t>&gt;</t>
    </r>
    <r>
      <rPr>
        <sz val="12"/>
        <color theme="1"/>
        <rFont val="Times New Roman"/>
        <family val="1"/>
        <charset val="204"/>
      </rPr>
      <t xml:space="preserve">75%,   1, если              P </t>
    </r>
    <r>
      <rPr>
        <sz val="12"/>
        <color theme="1"/>
        <rFont val="Calibri"/>
        <family val="2"/>
        <charset val="204"/>
      </rPr>
      <t xml:space="preserve">≥ </t>
    </r>
    <r>
      <rPr>
        <sz val="12"/>
        <color theme="1"/>
        <rFont val="Times New Roman"/>
        <family val="1"/>
        <charset val="204"/>
      </rPr>
      <t>97% и 0, если P</t>
    </r>
    <r>
      <rPr>
        <sz val="12"/>
        <color theme="1"/>
        <rFont val="Calibri"/>
        <family val="2"/>
        <charset val="204"/>
      </rPr>
      <t>≤75%</t>
    </r>
  </si>
  <si>
    <t>Наименование ГРБС</t>
  </si>
  <si>
    <t>Итоговое количество баллов</t>
  </si>
  <si>
    <t>Значение показателей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</si>
  <si>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</si>
  <si>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</si>
  <si>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</si>
  <si>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</si>
  <si>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</si>
  <si>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</si>
  <si>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</si>
  <si>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</si>
  <si>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</si>
  <si>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</si>
  <si>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2.1.</t>
  </si>
  <si>
    <t>2.2.</t>
  </si>
  <si>
    <t>2.3.</t>
  </si>
  <si>
    <t>3.1.</t>
  </si>
  <si>
    <t>3.2.</t>
  </si>
  <si>
    <t>4.</t>
  </si>
  <si>
    <t>5.</t>
  </si>
  <si>
    <t>РЕЙТИНГ</t>
  </si>
  <si>
    <t>Примечение: Отсутствие информации для размещения не может повлиять на снижение показателя</t>
  </si>
  <si>
    <t>Средний показатель</t>
  </si>
  <si>
    <t>ОКТЯБРЬ</t>
  </si>
  <si>
    <r>
      <t>E(P)= 0, если P</t>
    </r>
    <r>
      <rPr>
        <sz val="12"/>
        <color theme="1"/>
        <rFont val="Calibri"/>
        <family val="2"/>
        <charset val="204"/>
      </rPr>
      <t xml:space="preserve">≥ 0 </t>
    </r>
    <r>
      <rPr>
        <sz val="12"/>
        <color theme="1"/>
        <rFont val="Times New Roman"/>
        <family val="1"/>
        <charset val="204"/>
      </rPr>
      <t>и -2P, если -0,5&lt;Р&lt;0, 1, если P&lt;-0,5</t>
    </r>
  </si>
  <si>
    <t xml:space="preserve">5  Управление активами (имуществом) </t>
  </si>
  <si>
    <t>Сумма недостач, выявленных главным администратором и подведомственными ему получателями бюджетных средств при инвентаризации имущества в целях составления годовой бюджетной отчетности</t>
  </si>
  <si>
    <t>Qot</t>
  </si>
  <si>
    <t>Оценка показателя   E (P) =  0, если нарушения выявлены,  E (P) = 1, если нарушений не выявлено</t>
  </si>
  <si>
    <t xml:space="preserve">                                                                                                                                                     Объем расходов 2020 года</t>
  </si>
  <si>
    <t>P=(Dp1-Dp0)/Dp0, если Dp1=Dp0=0, то Р=-1</t>
  </si>
  <si>
    <t>Сумма искажений показателей бюджетной отчетности, тыс. руб.</t>
  </si>
  <si>
    <t>Суммарное значение показателей бюджетной отчетности, по которым выявлены искажения, тыс.руб.</t>
  </si>
  <si>
    <t>ИТОГО</t>
  </si>
  <si>
    <t xml:space="preserve">ОТЧЕТ </t>
  </si>
  <si>
    <t>2021 год</t>
  </si>
  <si>
    <t>Начальник финансового управления                                                                                                                                                 Р.Б. Волков</t>
  </si>
  <si>
    <t>1.5 Несоответствие расчетно-платежных документов, представленных в финансовое управление, требованиям бюджетного законодательства Российской Федерации за 2021 год</t>
  </si>
  <si>
    <t>2.1. Качество планирования поступлений налоговых и неналоговых доходов районного бюджета в 2021 году</t>
  </si>
  <si>
    <t>Оценка показателя   E (P) = 0, если нарушения выявлены, 1, если нарушений не выявлено</t>
  </si>
  <si>
    <t>2.3  Качество управления просроченной дебиторской задолженностью районного бюджета в 2021 году</t>
  </si>
  <si>
    <t>Объем расходов 2021 года</t>
  </si>
  <si>
    <t>1.1 Качество планирования расходов в 2021 году</t>
  </si>
  <si>
    <t>Начальник бюджетного отдела                                                                                                                                                                                     Ю.А. Лебедева</t>
  </si>
  <si>
    <t>Начальник бюджетного отдела                                                                                                                                                                                                    Ю.А. Лебедева</t>
  </si>
  <si>
    <t>1.3 Доля неисполненных на конец года бюджетных ассигнованиях в 2021 году</t>
  </si>
  <si>
    <t xml:space="preserve">                                                                                                                                                                                                                  1.2. Качество исполнения кассового плана в 2021 году</t>
  </si>
  <si>
    <t>Начальник бюджетного отдела                                                                                                                                                                                                                             Ю.А. Лебедева</t>
  </si>
  <si>
    <r>
      <t>E(P)=(0,1-P)/0,08, если 0,02&lt;P&lt;0,1; 1,если Р≤0,02 и 0, если P</t>
    </r>
    <r>
      <rPr>
        <sz val="12"/>
        <color theme="1"/>
        <rFont val="Calibri"/>
        <family val="2"/>
        <charset val="204"/>
      </rPr>
      <t>≥</t>
    </r>
    <r>
      <rPr>
        <sz val="12"/>
        <color theme="1"/>
        <rFont val="Times New Roman"/>
        <family val="1"/>
        <charset val="204"/>
      </rPr>
      <t>0,1</t>
    </r>
  </si>
  <si>
    <t xml:space="preserve">Начальник отдела учета и отчетности                                                                                                                                              Е.А. Кучерявых                                                                                                                                            </t>
  </si>
  <si>
    <t>Отсутствие остатков на 1.01.2022 не влияет на снижение показателя ГРБС.</t>
  </si>
  <si>
    <t>2.2. Качество администрирования доходов районного бюджета по возврату неиспользованных остатков межбюджетных трансфертов, имеющих целевое назначение в 2021 году</t>
  </si>
  <si>
    <t>1.9. Наличие просроченной кредиторской задолженности по расходам в 2021 году</t>
  </si>
  <si>
    <t>2020 справочно</t>
  </si>
  <si>
    <t>Начальник бюджетного отдела                                                                                                                                                                                                     Ю.А. Лебедева</t>
  </si>
  <si>
    <t>Объем расходов за счет МТ в 2021 года (из краевого и федерального бюджетов)</t>
  </si>
  <si>
    <t>о результатах мониторинга качества финансового менеджмента главных распоредителей средств бюджета муниципального образования Темрюкский район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</si>
</sst>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#,##0.0"/>
    <numFmt numFmtId="166" formatCode="#,##0.0;[Red]\-#,##0.0;0.0"/>
    <numFmt numFmtId="167" formatCode="#,##0.00_ ;[Red]\-#,##0.00\ "/>
    <numFmt numFmtId="168" formatCode="#,##0.00;[Red]\-#,##0.00;0.00"/>
    <numFmt numFmtId="169" formatCode="0.0"/>
    <numFmt numFmtId="170" formatCode="0.000"/>
    <numFmt numFmtId="171" formatCode="#,##0.000;[Red]\-#,##0.000;0.000"/>
  </numFmts>
  <fonts count="2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theme="1"/>
      <name val="Calibri"/>
      <family val="2"/>
      <charset val="204"/>
    </font>
    <font>
      <sz val="13.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rgb="FF22272F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509">
    <xf numFmtId="0" fontId="0" fillId="0" borderId="0" xfId="0"/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4" fontId="1" fillId="3" borderId="1" xfId="0" applyNumberFormat="1" applyFon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/>
    </xf>
    <xf numFmtId="4" fontId="1" fillId="0" borderId="7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left" vertical="top" wrapText="1"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2" borderId="0" xfId="0" applyFont="1" applyFill="1"/>
    <xf numFmtId="49" fontId="1" fillId="2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 applyAlignment="1">
      <alignment horizontal="center" vertical="center"/>
    </xf>
    <xf numFmtId="3" fontId="2" fillId="2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2" fillId="0" borderId="5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2" borderId="12" xfId="0" applyFont="1" applyFill="1" applyBorder="1" applyAlignment="1">
      <alignment horizontal="left" vertical="top" wrapText="1"/>
    </xf>
    <xf numFmtId="0" fontId="1" fillId="2" borderId="0" xfId="0" applyFont="1" applyFill="1" applyAlignment="1">
      <alignment wrapText="1"/>
    </xf>
    <xf numFmtId="0" fontId="1" fillId="2" borderId="18" xfId="0" applyFont="1" applyFill="1" applyBorder="1" applyAlignment="1">
      <alignment horizontal="left" vertical="top" wrapText="1"/>
    </xf>
    <xf numFmtId="49" fontId="1" fillId="2" borderId="6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left" wrapText="1"/>
    </xf>
    <xf numFmtId="49" fontId="1" fillId="2" borderId="2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left" wrapText="1"/>
    </xf>
    <xf numFmtId="0" fontId="2" fillId="0" borderId="0" xfId="0" applyFont="1"/>
    <xf numFmtId="2" fontId="1" fillId="2" borderId="0" xfId="0" applyNumberFormat="1" applyFont="1" applyFill="1"/>
    <xf numFmtId="3" fontId="1" fillId="2" borderId="0" xfId="0" applyNumberFormat="1" applyFont="1" applyFill="1"/>
    <xf numFmtId="0" fontId="3" fillId="2" borderId="0" xfId="0" applyFont="1" applyFill="1" applyAlignment="1">
      <alignment horizontal="center"/>
    </xf>
    <xf numFmtId="0" fontId="1" fillId="0" borderId="15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left" vertical="top" wrapText="1"/>
    </xf>
    <xf numFmtId="0" fontId="1" fillId="0" borderId="33" xfId="0" applyFont="1" applyFill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49" fontId="1" fillId="0" borderId="34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left" wrapText="1"/>
    </xf>
    <xf numFmtId="0" fontId="1" fillId="0" borderId="35" xfId="0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/>
    </xf>
    <xf numFmtId="0" fontId="2" fillId="0" borderId="0" xfId="0" applyFont="1" applyFill="1"/>
    <xf numFmtId="2" fontId="1" fillId="0" borderId="0" xfId="0" applyNumberFormat="1" applyFont="1" applyFill="1"/>
    <xf numFmtId="3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1" fillId="0" borderId="38" xfId="0" applyFont="1" applyFill="1" applyBorder="1" applyAlignment="1">
      <alignment horizontal="left" vertical="top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1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0" fontId="1" fillId="0" borderId="45" xfId="0" applyFont="1" applyFill="1" applyBorder="1" applyAlignment="1">
      <alignment horizontal="left" vertical="top" wrapText="1"/>
    </xf>
    <xf numFmtId="49" fontId="1" fillId="0" borderId="46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wrapText="1"/>
    </xf>
    <xf numFmtId="0" fontId="1" fillId="0" borderId="37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49" fontId="1" fillId="0" borderId="49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50" xfId="0" applyFont="1" applyFill="1" applyBorder="1" applyAlignment="1">
      <alignment horizontal="left" wrapText="1"/>
    </xf>
    <xf numFmtId="49" fontId="2" fillId="0" borderId="21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left" wrapText="1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/>
    <xf numFmtId="4" fontId="1" fillId="2" borderId="26" xfId="0" applyNumberFormat="1" applyFont="1" applyFill="1" applyBorder="1" applyAlignment="1">
      <alignment horizontal="center" vertical="center"/>
    </xf>
    <xf numFmtId="165" fontId="1" fillId="4" borderId="8" xfId="0" applyNumberFormat="1" applyFont="1" applyFill="1" applyBorder="1" applyAlignment="1">
      <alignment horizontal="center" vertical="center"/>
    </xf>
    <xf numFmtId="165" fontId="1" fillId="4" borderId="3" xfId="0" applyNumberFormat="1" applyFont="1" applyFill="1" applyBorder="1" applyAlignment="1">
      <alignment horizontal="center" vertical="center"/>
    </xf>
    <xf numFmtId="4" fontId="1" fillId="0" borderId="43" xfId="0" applyNumberFormat="1" applyFont="1" applyFill="1" applyBorder="1" applyAlignment="1">
      <alignment horizontal="center" vertical="center"/>
    </xf>
    <xf numFmtId="4" fontId="1" fillId="0" borderId="5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4" fontId="1" fillId="3" borderId="8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wrapText="1"/>
    </xf>
    <xf numFmtId="0" fontId="1" fillId="0" borderId="47" xfId="0" applyFont="1" applyFill="1" applyBorder="1" applyAlignment="1">
      <alignment horizontal="left" wrapText="1"/>
    </xf>
    <xf numFmtId="0" fontId="2" fillId="0" borderId="51" xfId="0" applyFont="1" applyFill="1" applyBorder="1" applyAlignment="1">
      <alignment horizontal="left" wrapText="1"/>
    </xf>
    <xf numFmtId="0" fontId="8" fillId="5" borderId="22" xfId="0" applyFont="1" applyFill="1" applyBorder="1" applyAlignment="1">
      <alignment wrapText="1"/>
    </xf>
    <xf numFmtId="4" fontId="8" fillId="5" borderId="8" xfId="0" applyNumberFormat="1" applyFont="1" applyFill="1" applyBorder="1" applyAlignment="1">
      <alignment horizontal="center" vertical="center"/>
    </xf>
    <xf numFmtId="3" fontId="9" fillId="5" borderId="4" xfId="0" applyNumberFormat="1" applyFont="1" applyFill="1" applyBorder="1" applyAlignment="1">
      <alignment horizontal="center" vertical="center"/>
    </xf>
    <xf numFmtId="3" fontId="9" fillId="5" borderId="9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vertical="top" wrapText="1"/>
    </xf>
    <xf numFmtId="0" fontId="1" fillId="0" borderId="56" xfId="0" applyFont="1" applyFill="1" applyBorder="1" applyAlignment="1">
      <alignment horizontal="left" vertical="top" wrapText="1"/>
    </xf>
    <xf numFmtId="3" fontId="1" fillId="0" borderId="43" xfId="0" applyNumberFormat="1" applyFont="1" applyFill="1" applyBorder="1" applyAlignment="1">
      <alignment horizontal="center" vertical="center"/>
    </xf>
    <xf numFmtId="3" fontId="1" fillId="0" borderId="52" xfId="0" applyNumberFormat="1" applyFont="1" applyFill="1" applyBorder="1" applyAlignment="1">
      <alignment horizontal="center" vertical="center"/>
    </xf>
    <xf numFmtId="3" fontId="2" fillId="0" borderId="53" xfId="0" applyNumberFormat="1" applyFont="1" applyFill="1" applyBorder="1" applyAlignment="1">
      <alignment horizontal="center" vertical="center"/>
    </xf>
    <xf numFmtId="0" fontId="8" fillId="5" borderId="41" xfId="0" applyFont="1" applyFill="1" applyBorder="1" applyAlignment="1">
      <alignment horizontal="left"/>
    </xf>
    <xf numFmtId="0" fontId="8" fillId="5" borderId="57" xfId="0" applyFont="1" applyFill="1" applyBorder="1" applyAlignment="1">
      <alignment horizontal="center"/>
    </xf>
    <xf numFmtId="0" fontId="8" fillId="5" borderId="23" xfId="0" applyFont="1" applyFill="1" applyBorder="1" applyAlignment="1">
      <alignment horizontal="center"/>
    </xf>
    <xf numFmtId="0" fontId="1" fillId="5" borderId="39" xfId="0" applyFont="1" applyFill="1" applyBorder="1"/>
    <xf numFmtId="0" fontId="1" fillId="5" borderId="0" xfId="0" applyFont="1" applyFill="1" applyBorder="1"/>
    <xf numFmtId="0" fontId="1" fillId="5" borderId="17" xfId="0" applyFont="1" applyFill="1" applyBorder="1"/>
    <xf numFmtId="0" fontId="1" fillId="5" borderId="33" xfId="0" applyFont="1" applyFill="1" applyBorder="1"/>
    <xf numFmtId="0" fontId="1" fillId="5" borderId="58" xfId="0" applyFont="1" applyFill="1" applyBorder="1"/>
    <xf numFmtId="0" fontId="10" fillId="5" borderId="16" xfId="0" applyFont="1" applyFill="1" applyBorder="1" applyAlignment="1">
      <alignment horizontal="left" vertical="top" wrapText="1"/>
    </xf>
    <xf numFmtId="4" fontId="2" fillId="5" borderId="28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4" fontId="6" fillId="0" borderId="48" xfId="0" applyNumberFormat="1" applyFont="1" applyFill="1" applyBorder="1" applyAlignment="1" applyProtection="1">
      <alignment horizontal="right"/>
      <protection hidden="1"/>
    </xf>
    <xf numFmtId="4" fontId="6" fillId="0" borderId="26" xfId="0" applyNumberFormat="1" applyFont="1" applyFill="1" applyBorder="1" applyAlignment="1" applyProtection="1">
      <alignment horizontal="right"/>
      <protection hidden="1"/>
    </xf>
    <xf numFmtId="4" fontId="6" fillId="0" borderId="47" xfId="0" applyNumberFormat="1" applyFont="1" applyFill="1" applyBorder="1" applyAlignment="1" applyProtection="1">
      <alignment horizontal="right"/>
      <protection hidden="1"/>
    </xf>
    <xf numFmtId="4" fontId="6" fillId="0" borderId="1" xfId="0" applyNumberFormat="1" applyFont="1" applyFill="1" applyBorder="1" applyAlignment="1" applyProtection="1">
      <alignment horizontal="right"/>
      <protection hidden="1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50" xfId="0" applyNumberFormat="1" applyFont="1" applyFill="1" applyBorder="1" applyAlignment="1">
      <alignment horizontal="right" vertical="center"/>
    </xf>
    <xf numFmtId="4" fontId="6" fillId="0" borderId="50" xfId="0" applyNumberFormat="1" applyFont="1" applyFill="1" applyBorder="1" applyAlignment="1" applyProtection="1">
      <alignment horizontal="right"/>
      <protection hidden="1"/>
    </xf>
    <xf numFmtId="4" fontId="2" fillId="0" borderId="19" xfId="0" applyNumberFormat="1" applyFont="1" applyFill="1" applyBorder="1" applyAlignment="1">
      <alignment horizontal="right" vertical="center"/>
    </xf>
    <xf numFmtId="164" fontId="1" fillId="4" borderId="26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4" borderId="50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/>
    </xf>
    <xf numFmtId="49" fontId="1" fillId="2" borderId="26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left" wrapText="1"/>
    </xf>
    <xf numFmtId="3" fontId="1" fillId="2" borderId="26" xfId="0" applyNumberFormat="1" applyFont="1" applyFill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165" fontId="1" fillId="0" borderId="27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164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2" borderId="18" xfId="0" applyFont="1" applyFill="1" applyBorder="1" applyAlignment="1">
      <alignment horizontal="center" vertical="top" wrapText="1"/>
    </xf>
    <xf numFmtId="0" fontId="1" fillId="2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66" fontId="6" fillId="0" borderId="1" xfId="0" applyNumberFormat="1" applyFont="1" applyFill="1" applyBorder="1" applyAlignment="1" applyProtection="1">
      <protection hidden="1"/>
    </xf>
    <xf numFmtId="166" fontId="2" fillId="2" borderId="9" xfId="0" applyNumberFormat="1" applyFont="1" applyFill="1" applyBorder="1" applyAlignment="1">
      <alignment horizontal="right" vertical="center"/>
    </xf>
    <xf numFmtId="164" fontId="1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165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167" fontId="2" fillId="2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2" borderId="0" xfId="0" applyFont="1" applyFill="1" applyBorder="1" applyAlignment="1"/>
    <xf numFmtId="0" fontId="1" fillId="2" borderId="10" xfId="0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left" vertical="top" wrapText="1"/>
    </xf>
    <xf numFmtId="0" fontId="20" fillId="0" borderId="56" xfId="0" applyFont="1" applyFill="1" applyBorder="1" applyAlignment="1">
      <alignment horizontal="left" vertical="top" wrapText="1"/>
    </xf>
    <xf numFmtId="0" fontId="20" fillId="0" borderId="38" xfId="0" applyFont="1" applyFill="1" applyBorder="1" applyAlignment="1">
      <alignment horizontal="left" vertical="top" wrapText="1"/>
    </xf>
    <xf numFmtId="0" fontId="20" fillId="0" borderId="14" xfId="0" applyFont="1" applyFill="1" applyBorder="1" applyAlignment="1">
      <alignment horizontal="left" vertical="top" wrapText="1"/>
    </xf>
    <xf numFmtId="166" fontId="6" fillId="0" borderId="26" xfId="0" applyNumberFormat="1" applyFont="1" applyFill="1" applyBorder="1" applyAlignment="1" applyProtection="1">
      <protection hidden="1"/>
    </xf>
    <xf numFmtId="0" fontId="1" fillId="2" borderId="1" xfId="0" applyFont="1" applyFill="1" applyBorder="1" applyAlignment="1">
      <alignment horizontal="center" vertical="top" wrapText="1"/>
    </xf>
    <xf numFmtId="168" fontId="6" fillId="0" borderId="7" xfId="0" applyNumberFormat="1" applyFont="1" applyFill="1" applyBorder="1" applyAlignment="1" applyProtection="1">
      <protection hidden="1"/>
    </xf>
    <xf numFmtId="168" fontId="6" fillId="0" borderId="1" xfId="0" applyNumberFormat="1" applyFont="1" applyFill="1" applyBorder="1" applyAlignment="1" applyProtection="1">
      <protection hidden="1"/>
    </xf>
    <xf numFmtId="168" fontId="6" fillId="0" borderId="9" xfId="0" applyNumberFormat="1" applyFont="1" applyFill="1" applyBorder="1" applyAlignment="1" applyProtection="1">
      <protection hidden="1"/>
    </xf>
    <xf numFmtId="168" fontId="6" fillId="0" borderId="8" xfId="0" applyNumberFormat="1" applyFont="1" applyFill="1" applyBorder="1" applyAlignment="1" applyProtection="1">
      <protection hidden="1"/>
    </xf>
    <xf numFmtId="168" fontId="6" fillId="0" borderId="3" xfId="0" applyNumberFormat="1" applyFont="1" applyFill="1" applyBorder="1" applyAlignment="1" applyProtection="1">
      <protection hidden="1"/>
    </xf>
    <xf numFmtId="168" fontId="6" fillId="0" borderId="5" xfId="0" applyNumberFormat="1" applyFont="1" applyFill="1" applyBorder="1" applyAlignment="1" applyProtection="1">
      <protection hidden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2" fillId="2" borderId="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4" fontId="1" fillId="0" borderId="8" xfId="0" applyNumberFormat="1" applyFont="1" applyFill="1" applyBorder="1" applyAlignment="1">
      <alignment horizontal="center" vertical="center"/>
    </xf>
    <xf numFmtId="4" fontId="2" fillId="0" borderId="53" xfId="0" applyNumberFormat="1" applyFont="1" applyFill="1" applyBorder="1" applyAlignment="1">
      <alignment horizontal="center"/>
    </xf>
    <xf numFmtId="4" fontId="2" fillId="0" borderId="5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164" fontId="1" fillId="0" borderId="50" xfId="0" applyNumberFormat="1" applyFont="1" applyFill="1" applyBorder="1" applyAlignment="1">
      <alignment horizontal="center" vertical="center"/>
    </xf>
    <xf numFmtId="166" fontId="6" fillId="0" borderId="42" xfId="0" applyNumberFormat="1" applyFont="1" applyFill="1" applyBorder="1" applyAlignment="1" applyProtection="1">
      <protection hidden="1"/>
    </xf>
    <xf numFmtId="0" fontId="1" fillId="2" borderId="57" xfId="0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/>
    </xf>
    <xf numFmtId="165" fontId="1" fillId="2" borderId="26" xfId="0" applyNumberFormat="1" applyFont="1" applyFill="1" applyBorder="1" applyAlignment="1">
      <alignment horizontal="center" vertical="center"/>
    </xf>
    <xf numFmtId="165" fontId="1" fillId="0" borderId="26" xfId="0" applyNumberFormat="1" applyFont="1" applyFill="1" applyBorder="1" applyAlignment="1">
      <alignment horizontal="center" vertical="center"/>
    </xf>
    <xf numFmtId="165" fontId="1" fillId="2" borderId="50" xfId="0" applyNumberFormat="1" applyFont="1" applyFill="1" applyBorder="1" applyAlignment="1">
      <alignment horizontal="center" vertical="center"/>
    </xf>
    <xf numFmtId="165" fontId="1" fillId="0" borderId="50" xfId="0" applyNumberFormat="1" applyFont="1" applyFill="1" applyBorder="1" applyAlignment="1">
      <alignment horizontal="center" vertical="center"/>
    </xf>
    <xf numFmtId="49" fontId="1" fillId="2" borderId="24" xfId="0" applyNumberFormat="1" applyFont="1" applyFill="1" applyBorder="1" applyAlignment="1">
      <alignment horizontal="center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left" wrapText="1"/>
    </xf>
    <xf numFmtId="165" fontId="1" fillId="0" borderId="37" xfId="0" applyNumberFormat="1" applyFont="1" applyFill="1" applyBorder="1" applyAlignment="1">
      <alignment horizontal="center" vertical="center"/>
    </xf>
    <xf numFmtId="4" fontId="1" fillId="0" borderId="37" xfId="0" applyNumberFormat="1" applyFont="1" applyFill="1" applyBorder="1" applyAlignment="1">
      <alignment horizontal="center" vertical="center"/>
    </xf>
    <xf numFmtId="169" fontId="2" fillId="0" borderId="22" xfId="0" applyNumberFormat="1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center" vertical="center"/>
    </xf>
    <xf numFmtId="49" fontId="1" fillId="2" borderId="47" xfId="0" applyNumberFormat="1" applyFont="1" applyFill="1" applyBorder="1" applyAlignment="1">
      <alignment horizontal="center" vertical="center"/>
    </xf>
    <xf numFmtId="0" fontId="14" fillId="2" borderId="61" xfId="0" applyFont="1" applyFill="1" applyBorder="1" applyAlignment="1">
      <alignment horizontal="left" vertical="top" wrapText="1"/>
    </xf>
    <xf numFmtId="0" fontId="14" fillId="2" borderId="62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1" fillId="0" borderId="54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/>
    <xf numFmtId="2" fontId="1" fillId="0" borderId="0" xfId="0" applyNumberFormat="1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9" fontId="1" fillId="0" borderId="0" xfId="0" applyNumberFormat="1" applyFont="1" applyFill="1" applyAlignment="1">
      <alignment horizontal="center" vertical="center"/>
    </xf>
    <xf numFmtId="0" fontId="1" fillId="2" borderId="1" xfId="0" applyFont="1" applyFill="1" applyBorder="1"/>
    <xf numFmtId="0" fontId="1" fillId="0" borderId="1" xfId="0" applyFont="1" applyFill="1" applyBorder="1"/>
    <xf numFmtId="166" fontId="2" fillId="2" borderId="67" xfId="0" applyNumberFormat="1" applyFont="1" applyFill="1" applyBorder="1" applyAlignment="1">
      <alignment horizontal="right" vertical="center"/>
    </xf>
    <xf numFmtId="166" fontId="2" fillId="2" borderId="65" xfId="0" applyNumberFormat="1" applyFont="1" applyFill="1" applyBorder="1" applyAlignment="1">
      <alignment horizontal="right" vertical="center"/>
    </xf>
    <xf numFmtId="166" fontId="2" fillId="2" borderId="13" xfId="0" applyNumberFormat="1" applyFont="1" applyFill="1" applyBorder="1" applyAlignment="1">
      <alignment horizontal="right" vertical="center"/>
    </xf>
    <xf numFmtId="166" fontId="2" fillId="2" borderId="12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right" vertical="center"/>
    </xf>
    <xf numFmtId="166" fontId="2" fillId="2" borderId="57" xfId="0" applyNumberFormat="1" applyFont="1" applyFill="1" applyBorder="1" applyAlignment="1">
      <alignment horizontal="right" vertical="center"/>
    </xf>
    <xf numFmtId="166" fontId="2" fillId="2" borderId="1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5" fontId="1" fillId="0" borderId="60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right" vertical="center"/>
    </xf>
    <xf numFmtId="166" fontId="2" fillId="0" borderId="1" xfId="0" applyNumberFormat="1" applyFont="1" applyFill="1" applyBorder="1" applyAlignment="1">
      <alignment horizontal="center" vertical="center"/>
    </xf>
    <xf numFmtId="166" fontId="6" fillId="0" borderId="47" xfId="0" applyNumberFormat="1" applyFont="1" applyFill="1" applyBorder="1" applyAlignment="1" applyProtection="1">
      <protection hidden="1"/>
    </xf>
    <xf numFmtId="166" fontId="6" fillId="0" borderId="65" xfId="0" applyNumberFormat="1" applyFont="1" applyFill="1" applyBorder="1" applyAlignment="1" applyProtection="1">
      <protection hidden="1"/>
    </xf>
    <xf numFmtId="0" fontId="1" fillId="0" borderId="39" xfId="0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2" fontId="6" fillId="0" borderId="0" xfId="0" applyNumberFormat="1" applyFont="1"/>
    <xf numFmtId="2" fontId="6" fillId="3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9" fontId="2" fillId="2" borderId="12" xfId="0" applyNumberFormat="1" applyFont="1" applyFill="1" applyBorder="1" applyAlignment="1">
      <alignment horizontal="center" vertical="center" wrapText="1"/>
    </xf>
    <xf numFmtId="169" fontId="1" fillId="3" borderId="1" xfId="0" applyNumberFormat="1" applyFont="1" applyFill="1" applyBorder="1" applyAlignment="1">
      <alignment horizontal="center" vertical="center"/>
    </xf>
    <xf numFmtId="2" fontId="6" fillId="2" borderId="0" xfId="0" applyNumberFormat="1" applyFont="1" applyFill="1"/>
    <xf numFmtId="0" fontId="1" fillId="3" borderId="54" xfId="0" applyNumberFormat="1" applyFont="1" applyFill="1" applyBorder="1" applyAlignment="1">
      <alignment horizontal="center" vertical="center" wrapText="1"/>
    </xf>
    <xf numFmtId="0" fontId="1" fillId="3" borderId="19" xfId="0" applyNumberFormat="1" applyFont="1" applyFill="1" applyBorder="1" applyAlignment="1">
      <alignment horizontal="center" vertical="center" wrapText="1"/>
    </xf>
    <xf numFmtId="0" fontId="1" fillId="3" borderId="20" xfId="0" applyNumberFormat="1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/>
    </xf>
    <xf numFmtId="49" fontId="1" fillId="6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 wrapText="1"/>
    </xf>
    <xf numFmtId="0" fontId="1" fillId="6" borderId="1" xfId="0" applyFont="1" applyFill="1" applyBorder="1" applyAlignment="1">
      <alignment horizontal="center" vertical="center" wrapText="1"/>
    </xf>
    <xf numFmtId="165" fontId="1" fillId="6" borderId="1" xfId="0" applyNumberFormat="1" applyFont="1" applyFill="1" applyBorder="1" applyAlignment="1">
      <alignment horizontal="center" vertical="center"/>
    </xf>
    <xf numFmtId="165" fontId="1" fillId="6" borderId="26" xfId="0" applyNumberFormat="1" applyFont="1" applyFill="1" applyBorder="1" applyAlignment="1">
      <alignment horizontal="center" vertical="center"/>
    </xf>
    <xf numFmtId="4" fontId="1" fillId="6" borderId="2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" fontId="2" fillId="0" borderId="1" xfId="0" applyNumberFormat="1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/>
    </xf>
    <xf numFmtId="0" fontId="1" fillId="3" borderId="19" xfId="0" applyNumberFormat="1" applyFont="1" applyFill="1" applyBorder="1" applyAlignment="1">
      <alignment horizontal="center" vertical="top" wrapText="1"/>
    </xf>
    <xf numFmtId="169" fontId="21" fillId="0" borderId="0" xfId="0" applyNumberFormat="1" applyFont="1"/>
    <xf numFmtId="169" fontId="1" fillId="0" borderId="0" xfId="0" applyNumberFormat="1" applyFont="1"/>
    <xf numFmtId="3" fontId="1" fillId="0" borderId="6" xfId="0" applyNumberFormat="1" applyFont="1" applyFill="1" applyBorder="1" applyAlignment="1">
      <alignment horizontal="center" vertical="center"/>
    </xf>
    <xf numFmtId="4" fontId="1" fillId="2" borderId="42" xfId="0" applyNumberFormat="1" applyFont="1" applyFill="1" applyBorder="1" applyAlignment="1">
      <alignment horizontal="center" vertical="center"/>
    </xf>
    <xf numFmtId="165" fontId="6" fillId="0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4" fontId="1" fillId="3" borderId="47" xfId="0" applyNumberFormat="1" applyFont="1" applyFill="1" applyBorder="1" applyAlignment="1">
      <alignment horizontal="center" vertical="center"/>
    </xf>
    <xf numFmtId="165" fontId="6" fillId="0" borderId="3" xfId="0" applyNumberFormat="1" applyFont="1" applyFill="1" applyBorder="1" applyAlignment="1">
      <alignment horizontal="center" vertical="center"/>
    </xf>
    <xf numFmtId="4" fontId="1" fillId="2" borderId="47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67" fontId="6" fillId="0" borderId="1" xfId="1" applyNumberFormat="1" applyFont="1" applyFill="1" applyBorder="1" applyAlignment="1" applyProtection="1">
      <alignment horizontal="center" vertical="center"/>
      <protection hidden="1"/>
    </xf>
    <xf numFmtId="165" fontId="1" fillId="0" borderId="7" xfId="0" applyNumberFormat="1" applyFont="1" applyFill="1" applyBorder="1" applyAlignment="1">
      <alignment horizontal="center" vertical="center"/>
    </xf>
    <xf numFmtId="165" fontId="1" fillId="3" borderId="8" xfId="0" applyNumberFormat="1" applyFont="1" applyFill="1" applyBorder="1" applyAlignment="1">
      <alignment horizontal="center" vertical="center"/>
    </xf>
    <xf numFmtId="165" fontId="1" fillId="0" borderId="43" xfId="0" applyNumberFormat="1" applyFont="1" applyFill="1" applyBorder="1" applyAlignment="1">
      <alignment horizontal="center" vertical="center"/>
    </xf>
    <xf numFmtId="165" fontId="1" fillId="0" borderId="52" xfId="0" applyNumberFormat="1" applyFont="1" applyFill="1" applyBorder="1" applyAlignment="1">
      <alignment horizontal="center" vertical="center"/>
    </xf>
    <xf numFmtId="3" fontId="21" fillId="0" borderId="26" xfId="0" applyNumberFormat="1" applyFont="1" applyFill="1" applyBorder="1" applyAlignment="1">
      <alignment horizontal="center" vertical="center"/>
    </xf>
    <xf numFmtId="3" fontId="21" fillId="0" borderId="3" xfId="0" applyNumberFormat="1" applyFont="1" applyFill="1" applyBorder="1" applyAlignment="1">
      <alignment horizontal="center" vertical="center"/>
    </xf>
    <xf numFmtId="3" fontId="21" fillId="2" borderId="3" xfId="0" applyNumberFormat="1" applyFont="1" applyFill="1" applyBorder="1" applyAlignment="1">
      <alignment horizontal="center" vertical="center"/>
    </xf>
    <xf numFmtId="3" fontId="21" fillId="0" borderId="60" xfId="0" applyNumberFormat="1" applyFont="1" applyFill="1" applyBorder="1" applyAlignment="1">
      <alignment horizontal="center" vertical="center"/>
    </xf>
    <xf numFmtId="166" fontId="2" fillId="2" borderId="9" xfId="0" applyNumberFormat="1" applyFont="1" applyFill="1" applyBorder="1" applyAlignment="1">
      <alignment horizontal="center" vertical="center"/>
    </xf>
    <xf numFmtId="171" fontId="2" fillId="2" borderId="9" xfId="0" applyNumberFormat="1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1" fillId="2" borderId="22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1" fillId="2" borderId="58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166" fontId="6" fillId="2" borderId="43" xfId="0" applyNumberFormat="1" applyFont="1" applyFill="1" applyBorder="1" applyAlignment="1" applyProtection="1">
      <protection hidden="1"/>
    </xf>
    <xf numFmtId="166" fontId="6" fillId="2" borderId="19" xfId="0" applyNumberFormat="1" applyFont="1" applyFill="1" applyBorder="1" applyAlignment="1" applyProtection="1">
      <protection hidden="1"/>
    </xf>
    <xf numFmtId="168" fontId="6" fillId="2" borderId="8" xfId="0" applyNumberFormat="1" applyFont="1" applyFill="1" applyBorder="1" applyAlignment="1" applyProtection="1">
      <protection hidden="1"/>
    </xf>
    <xf numFmtId="166" fontId="6" fillId="2" borderId="46" xfId="0" applyNumberFormat="1" applyFont="1" applyFill="1" applyBorder="1" applyAlignment="1" applyProtection="1">
      <protection hidden="1"/>
    </xf>
    <xf numFmtId="166" fontId="6" fillId="2" borderId="8" xfId="0" applyNumberFormat="1" applyFont="1" applyFill="1" applyBorder="1" applyAlignment="1" applyProtection="1">
      <protection hidden="1"/>
    </xf>
    <xf numFmtId="165" fontId="1" fillId="2" borderId="61" xfId="0" applyNumberFormat="1" applyFont="1" applyFill="1" applyBorder="1" applyAlignment="1">
      <alignment horizontal="center" vertical="center"/>
    </xf>
    <xf numFmtId="164" fontId="1" fillId="2" borderId="52" xfId="0" applyNumberFormat="1" applyFont="1" applyFill="1" applyBorder="1" applyAlignment="1">
      <alignment horizontal="center" vertical="center"/>
    </xf>
    <xf numFmtId="165" fontId="1" fillId="2" borderId="8" xfId="0" applyNumberFormat="1" applyFont="1" applyFill="1" applyBorder="1" applyAlignment="1">
      <alignment horizontal="center" vertical="center"/>
    </xf>
    <xf numFmtId="168" fontId="0" fillId="2" borderId="0" xfId="0" applyNumberFormat="1" applyFill="1"/>
    <xf numFmtId="166" fontId="6" fillId="2" borderId="42" xfId="0" applyNumberFormat="1" applyFont="1" applyFill="1" applyBorder="1" applyAlignment="1" applyProtection="1">
      <protection hidden="1"/>
    </xf>
    <xf numFmtId="165" fontId="1" fillId="2" borderId="3" xfId="0" applyNumberFormat="1" applyFont="1" applyFill="1" applyBorder="1" applyAlignment="1">
      <alignment horizontal="center" vertical="center"/>
    </xf>
    <xf numFmtId="166" fontId="6" fillId="2" borderId="52" xfId="0" applyNumberFormat="1" applyFont="1" applyFill="1" applyBorder="1" applyAlignment="1" applyProtection="1">
      <protection hidden="1"/>
    </xf>
    <xf numFmtId="166" fontId="6" fillId="2" borderId="1" xfId="0" applyNumberFormat="1" applyFont="1" applyFill="1" applyBorder="1" applyAlignment="1" applyProtection="1">
      <protection hidden="1"/>
    </xf>
    <xf numFmtId="166" fontId="6" fillId="2" borderId="34" xfId="0" applyNumberFormat="1" applyFont="1" applyFill="1" applyBorder="1" applyAlignment="1" applyProtection="1">
      <protection hidden="1"/>
    </xf>
    <xf numFmtId="166" fontId="6" fillId="2" borderId="27" xfId="0" applyNumberFormat="1" applyFont="1" applyFill="1" applyBorder="1" applyAlignment="1" applyProtection="1">
      <protection hidden="1"/>
    </xf>
    <xf numFmtId="166" fontId="6" fillId="2" borderId="53" xfId="0" applyNumberFormat="1" applyFont="1" applyFill="1" applyBorder="1" applyAlignment="1" applyProtection="1">
      <protection hidden="1"/>
    </xf>
    <xf numFmtId="166" fontId="6" fillId="2" borderId="51" xfId="0" applyNumberFormat="1" applyFont="1" applyFill="1" applyBorder="1" applyAlignment="1" applyProtection="1">
      <protection hidden="1"/>
    </xf>
    <xf numFmtId="166" fontId="6" fillId="2" borderId="0" xfId="0" applyNumberFormat="1" applyFont="1" applyFill="1" applyBorder="1" applyAlignment="1" applyProtection="1">
      <protection hidden="1"/>
    </xf>
    <xf numFmtId="166" fontId="6" fillId="2" borderId="40" xfId="0" applyNumberFormat="1" applyFont="1" applyFill="1" applyBorder="1" applyAlignment="1" applyProtection="1">
      <protection hidden="1"/>
    </xf>
    <xf numFmtId="166" fontId="6" fillId="2" borderId="39" xfId="0" applyNumberFormat="1" applyFont="1" applyFill="1" applyBorder="1" applyAlignment="1" applyProtection="1">
      <protection hidden="1"/>
    </xf>
    <xf numFmtId="2" fontId="1" fillId="2" borderId="1" xfId="0" applyNumberFormat="1" applyFont="1" applyFill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4" fontId="1" fillId="2" borderId="0" xfId="0" applyNumberFormat="1" applyFont="1" applyFill="1" applyAlignment="1">
      <alignment horizontal="center" vertical="center"/>
    </xf>
    <xf numFmtId="168" fontId="2" fillId="2" borderId="12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68" fontId="2" fillId="2" borderId="11" xfId="0" applyNumberFormat="1" applyFont="1" applyFill="1" applyBorder="1" applyAlignment="1">
      <alignment horizontal="right" vertical="center"/>
    </xf>
    <xf numFmtId="0" fontId="1" fillId="0" borderId="50" xfId="0" applyFont="1" applyBorder="1" applyAlignment="1">
      <alignment horizontal="center" vertical="top" wrapText="1"/>
    </xf>
    <xf numFmtId="0" fontId="0" fillId="0" borderId="0" xfId="0" applyBorder="1"/>
    <xf numFmtId="164" fontId="1" fillId="0" borderId="0" xfId="0" applyNumberFormat="1" applyFont="1" applyFill="1" applyBorder="1" applyAlignment="1">
      <alignment horizontal="center" vertical="center"/>
    </xf>
    <xf numFmtId="49" fontId="1" fillId="7" borderId="2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left" wrapText="1"/>
    </xf>
    <xf numFmtId="0" fontId="1" fillId="7" borderId="1" xfId="0" applyFont="1" applyFill="1" applyBorder="1" applyAlignment="1">
      <alignment horizontal="center" vertical="center" wrapText="1"/>
    </xf>
    <xf numFmtId="165" fontId="1" fillId="7" borderId="1" xfId="0" applyNumberFormat="1" applyFont="1" applyFill="1" applyBorder="1" applyAlignment="1">
      <alignment horizontal="center" vertical="center"/>
    </xf>
    <xf numFmtId="165" fontId="1" fillId="7" borderId="26" xfId="0" applyNumberFormat="1" applyFont="1" applyFill="1" applyBorder="1" applyAlignment="1">
      <alignment horizontal="center" vertical="center"/>
    </xf>
    <xf numFmtId="4" fontId="1" fillId="7" borderId="26" xfId="0" applyNumberFormat="1" applyFont="1" applyFill="1" applyBorder="1" applyAlignment="1">
      <alignment horizontal="center" vertical="center"/>
    </xf>
    <xf numFmtId="3" fontId="21" fillId="7" borderId="3" xfId="0" applyNumberFormat="1" applyFont="1" applyFill="1" applyBorder="1" applyAlignment="1">
      <alignment horizontal="center" vertical="center"/>
    </xf>
    <xf numFmtId="170" fontId="6" fillId="0" borderId="0" xfId="0" applyNumberFormat="1" applyFont="1"/>
    <xf numFmtId="169" fontId="6" fillId="0" borderId="0" xfId="0" applyNumberFormat="1" applyFont="1"/>
    <xf numFmtId="0" fontId="6" fillId="0" borderId="0" xfId="0" applyFont="1"/>
    <xf numFmtId="1" fontId="6" fillId="0" borderId="0" xfId="0" applyNumberFormat="1" applyFont="1"/>
    <xf numFmtId="1" fontId="1" fillId="0" borderId="0" xfId="0" applyNumberFormat="1" applyFont="1"/>
    <xf numFmtId="14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2" fillId="2" borderId="0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0" xfId="0" applyFont="1" applyFill="1" applyAlignment="1"/>
    <xf numFmtId="0" fontId="2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2" fillId="2" borderId="35" xfId="0" applyFont="1" applyFill="1" applyBorder="1" applyAlignment="1">
      <alignment horizontal="left" wrapText="1"/>
    </xf>
    <xf numFmtId="0" fontId="2" fillId="2" borderId="66" xfId="0" applyFont="1" applyFill="1" applyBorder="1" applyAlignment="1">
      <alignment horizontal="left" wrapText="1"/>
    </xf>
    <xf numFmtId="0" fontId="2" fillId="2" borderId="68" xfId="0" applyFont="1" applyFill="1" applyBorder="1" applyAlignment="1">
      <alignment horizontal="left" wrapText="1"/>
    </xf>
    <xf numFmtId="0" fontId="1" fillId="2" borderId="47" xfId="0" applyFont="1" applyFill="1" applyBorder="1" applyAlignment="1">
      <alignment horizontal="left"/>
    </xf>
    <xf numFmtId="0" fontId="1" fillId="2" borderId="66" xfId="0" applyFont="1" applyFill="1" applyBorder="1" applyAlignment="1">
      <alignment horizontal="left"/>
    </xf>
    <xf numFmtId="0" fontId="1" fillId="2" borderId="52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59" xfId="0" applyFont="1" applyFill="1" applyBorder="1" applyAlignment="1">
      <alignment horizontal="left" vertical="top" wrapText="1"/>
    </xf>
    <xf numFmtId="0" fontId="1" fillId="2" borderId="57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center" vertical="top" wrapText="1"/>
    </xf>
    <xf numFmtId="0" fontId="1" fillId="2" borderId="63" xfId="0" applyFont="1" applyFill="1" applyBorder="1" applyAlignment="1">
      <alignment horizontal="center" vertical="top" wrapText="1"/>
    </xf>
    <xf numFmtId="0" fontId="1" fillId="2" borderId="54" xfId="0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0" fontId="1" fillId="2" borderId="64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 vertical="center" wrapText="1" shrinkToFit="1"/>
    </xf>
    <xf numFmtId="0" fontId="7" fillId="2" borderId="0" xfId="0" applyFont="1" applyFill="1" applyAlignment="1">
      <alignment horizontal="left" vertical="center" wrapText="1" shrinkToFit="1"/>
    </xf>
    <xf numFmtId="0" fontId="1" fillId="2" borderId="23" xfId="0" applyFont="1" applyFill="1" applyBorder="1" applyAlignment="1">
      <alignment horizontal="center" vertical="top" wrapText="1"/>
    </xf>
    <xf numFmtId="0" fontId="0" fillId="2" borderId="17" xfId="0" applyFill="1" applyBorder="1" applyAlignment="1">
      <alignment horizontal="center" vertical="top" wrapText="1"/>
    </xf>
    <xf numFmtId="0" fontId="0" fillId="2" borderId="28" xfId="0" applyFill="1" applyBorder="1" applyAlignment="1">
      <alignment horizontal="center" vertical="top" wrapText="1"/>
    </xf>
    <xf numFmtId="0" fontId="1" fillId="2" borderId="0" xfId="0" applyFont="1" applyFill="1" applyAlignment="1"/>
    <xf numFmtId="1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2" borderId="10" xfId="0" applyFont="1" applyFill="1" applyBorder="1" applyAlignment="1">
      <alignment horizontal="center" vertical="top" wrapText="1"/>
    </xf>
    <xf numFmtId="0" fontId="1" fillId="2" borderId="38" xfId="0" applyFont="1" applyFill="1" applyBorder="1" applyAlignment="1">
      <alignment horizontal="center" vertical="top" wrapText="1"/>
    </xf>
    <xf numFmtId="0" fontId="1" fillId="2" borderId="32" xfId="0" applyFont="1" applyFill="1" applyBorder="1" applyAlignment="1">
      <alignment horizontal="center" vertical="top" wrapText="1"/>
    </xf>
    <xf numFmtId="0" fontId="1" fillId="2" borderId="37" xfId="0" applyFont="1" applyFill="1" applyBorder="1" applyAlignment="1">
      <alignment horizontal="center" vertical="top" wrapText="1"/>
    </xf>
    <xf numFmtId="0" fontId="1" fillId="2" borderId="31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45" xfId="0" applyFont="1" applyFill="1" applyBorder="1" applyAlignment="1">
      <alignment horizontal="center" vertical="top" wrapText="1"/>
    </xf>
    <xf numFmtId="0" fontId="1" fillId="2" borderId="30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2" fillId="2" borderId="49" xfId="0" applyFont="1" applyFill="1" applyBorder="1" applyAlignment="1">
      <alignment horizontal="left" wrapText="1"/>
    </xf>
    <xf numFmtId="0" fontId="2" fillId="2" borderId="69" xfId="0" applyFont="1" applyFill="1" applyBorder="1" applyAlignment="1">
      <alignment horizontal="left" wrapText="1"/>
    </xf>
    <xf numFmtId="0" fontId="2" fillId="2" borderId="67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Fill="1" applyBorder="1" applyAlignment="1"/>
    <xf numFmtId="0" fontId="1" fillId="0" borderId="19" xfId="0" applyFont="1" applyFill="1" applyBorder="1" applyAlignment="1">
      <alignment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14" fontId="1" fillId="0" borderId="0" xfId="0" applyNumberFormat="1" applyFont="1" applyFill="1" applyAlignment="1"/>
    <xf numFmtId="0" fontId="0" fillId="0" borderId="0" xfId="0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1" fillId="2" borderId="0" xfId="0" applyFont="1" applyFill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wrapText="1"/>
    </xf>
    <xf numFmtId="0" fontId="2" fillId="2" borderId="52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8" fillId="5" borderId="12" xfId="0" applyFont="1" applyFill="1" applyBorder="1" applyAlignment="1">
      <alignment wrapText="1"/>
    </xf>
    <xf numFmtId="0" fontId="8" fillId="5" borderId="19" xfId="0" applyFont="1" applyFill="1" applyBorder="1" applyAlignment="1">
      <alignment wrapText="1"/>
    </xf>
    <xf numFmtId="0" fontId="1" fillId="0" borderId="54" xfId="0" applyFont="1" applyFill="1" applyBorder="1" applyAlignment="1">
      <alignment wrapText="1"/>
    </xf>
    <xf numFmtId="0" fontId="1" fillId="0" borderId="17" xfId="0" applyFont="1" applyBorder="1" applyAlignment="1">
      <alignment horizontal="left" vertical="top" wrapText="1"/>
    </xf>
    <xf numFmtId="0" fontId="1" fillId="0" borderId="28" xfId="0" applyFont="1" applyBorder="1" applyAlignment="1">
      <alignment horizontal="left" vertical="top" wrapText="1"/>
    </xf>
    <xf numFmtId="0" fontId="1" fillId="2" borderId="42" xfId="0" applyFont="1" applyFill="1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7" fillId="0" borderId="0" xfId="0" applyFont="1" applyFill="1" applyAlignment="1">
      <alignment horizontal="right" vertical="center"/>
    </xf>
    <xf numFmtId="0" fontId="15" fillId="0" borderId="0" xfId="0" applyFont="1" applyAlignment="1">
      <alignment horizontal="center" vertical="center" wrapText="1" shrinkToFit="1"/>
    </xf>
    <xf numFmtId="0" fontId="16" fillId="0" borderId="0" xfId="0" applyFont="1" applyAlignment="1">
      <alignment horizontal="center" vertical="center" wrapText="1" shrinkToFit="1"/>
    </xf>
    <xf numFmtId="0" fontId="2" fillId="2" borderId="0" xfId="0" applyFont="1" applyFill="1" applyBorder="1" applyAlignment="1">
      <alignment vertical="center"/>
    </xf>
    <xf numFmtId="14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2" borderId="5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/>
    </xf>
    <xf numFmtId="0" fontId="1" fillId="2" borderId="47" xfId="0" applyFont="1" applyFill="1" applyBorder="1" applyAlignment="1">
      <alignment horizontal="left" wrapText="1"/>
    </xf>
    <xf numFmtId="0" fontId="1" fillId="2" borderId="66" xfId="0" applyFont="1" applyFill="1" applyBorder="1" applyAlignment="1">
      <alignment horizontal="left" wrapText="1"/>
    </xf>
    <xf numFmtId="0" fontId="1" fillId="2" borderId="52" xfId="0" applyFont="1" applyFill="1" applyBorder="1" applyAlignment="1">
      <alignment horizontal="left" wrapText="1"/>
    </xf>
    <xf numFmtId="0" fontId="0" fillId="0" borderId="44" xfId="0" applyBorder="1" applyAlignment="1">
      <alignment horizontal="left" vertical="top" wrapText="1"/>
    </xf>
    <xf numFmtId="0" fontId="1" fillId="2" borderId="57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3" xfId="0" applyFill="1" applyBorder="1" applyAlignment="1">
      <alignment horizontal="center" vertical="center" wrapText="1"/>
    </xf>
    <xf numFmtId="0" fontId="17" fillId="0" borderId="0" xfId="0" applyFont="1" applyFill="1" applyAlignment="1"/>
    <xf numFmtId="0" fontId="1" fillId="3" borderId="12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57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left" wrapText="1"/>
    </xf>
    <xf numFmtId="0" fontId="2" fillId="2" borderId="44" xfId="0" applyFont="1" applyFill="1" applyBorder="1" applyAlignment="1">
      <alignment horizontal="left" wrapText="1"/>
    </xf>
    <xf numFmtId="0" fontId="2" fillId="2" borderId="70" xfId="0" applyFont="1" applyFill="1" applyBorder="1" applyAlignment="1">
      <alignment horizontal="left" wrapText="1"/>
    </xf>
    <xf numFmtId="49" fontId="1" fillId="3" borderId="47" xfId="0" applyNumberFormat="1" applyFont="1" applyFill="1" applyBorder="1" applyAlignment="1">
      <alignment horizontal="left"/>
    </xf>
    <xf numFmtId="49" fontId="1" fillId="3" borderId="66" xfId="0" applyNumberFormat="1" applyFont="1" applyFill="1" applyBorder="1" applyAlignment="1">
      <alignment horizontal="left"/>
    </xf>
    <xf numFmtId="49" fontId="1" fillId="3" borderId="52" xfId="0" applyNumberFormat="1" applyFont="1" applyFill="1" applyBorder="1" applyAlignment="1">
      <alignment horizontal="left"/>
    </xf>
    <xf numFmtId="0" fontId="2" fillId="0" borderId="58" xfId="0" applyFont="1" applyBorder="1" applyAlignment="1">
      <alignment horizontal="center" vertical="center" wrapText="1"/>
    </xf>
    <xf numFmtId="3" fontId="21" fillId="6" borderId="3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4"/>
  <sheetViews>
    <sheetView view="pageBreakPreview" zoomScaleNormal="100" zoomScaleSheetLayoutView="100" workbookViewId="0">
      <selection activeCell="H17" sqref="H17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32.28515625" customWidth="1"/>
    <col min="5" max="5" width="17.5703125" customWidth="1"/>
    <col min="6" max="6" width="19.42578125" customWidth="1"/>
    <col min="7" max="7" width="16.42578125" customWidth="1"/>
    <col min="8" max="8" width="25.140625" customWidth="1"/>
    <col min="9" max="9" width="14" customWidth="1"/>
  </cols>
  <sheetData>
    <row r="2" spans="1:12" x14ac:dyDescent="0.25">
      <c r="A2" s="390" t="s">
        <v>208</v>
      </c>
      <c r="B2" s="391"/>
      <c r="C2" s="391"/>
      <c r="D2" s="391"/>
      <c r="E2" s="391"/>
      <c r="F2" s="391"/>
      <c r="G2" s="391"/>
      <c r="H2" s="391"/>
      <c r="I2" s="391"/>
    </row>
    <row r="3" spans="1:12" ht="15.75" x14ac:dyDescent="0.25">
      <c r="A3" s="24"/>
      <c r="B3" s="24"/>
      <c r="C3" s="24"/>
      <c r="D3" s="233"/>
      <c r="E3" s="392"/>
      <c r="F3" s="392"/>
      <c r="G3" s="17"/>
      <c r="H3" s="17"/>
      <c r="I3" s="17"/>
    </row>
    <row r="4" spans="1:12" ht="31.5" x14ac:dyDescent="0.25">
      <c r="A4" s="327" t="s">
        <v>0</v>
      </c>
      <c r="B4" s="327" t="s">
        <v>108</v>
      </c>
      <c r="C4" s="327" t="s">
        <v>1</v>
      </c>
      <c r="D4" s="327" t="s">
        <v>2</v>
      </c>
      <c r="E4" s="393" t="s">
        <v>207</v>
      </c>
      <c r="F4" s="393"/>
      <c r="G4" s="286"/>
      <c r="H4" s="286"/>
      <c r="I4" s="394" t="s">
        <v>129</v>
      </c>
    </row>
    <row r="5" spans="1:12" ht="31.9" customHeight="1" x14ac:dyDescent="0.25">
      <c r="A5" s="327"/>
      <c r="B5" s="327"/>
      <c r="C5" s="327"/>
      <c r="D5" s="327"/>
      <c r="E5" s="327" t="s">
        <v>147</v>
      </c>
      <c r="F5" s="286" t="s">
        <v>148</v>
      </c>
      <c r="G5" s="286" t="s">
        <v>79</v>
      </c>
      <c r="H5" s="286" t="s">
        <v>72</v>
      </c>
      <c r="I5" s="395"/>
    </row>
    <row r="6" spans="1:12" ht="33" customHeight="1" x14ac:dyDescent="0.25">
      <c r="A6" s="327"/>
      <c r="B6" s="327"/>
      <c r="C6" s="327"/>
      <c r="D6" s="327"/>
      <c r="E6" s="327" t="s">
        <v>149</v>
      </c>
      <c r="F6" s="286" t="s">
        <v>150</v>
      </c>
      <c r="G6" s="286" t="s">
        <v>151</v>
      </c>
      <c r="H6" s="371" t="s">
        <v>152</v>
      </c>
      <c r="I6" s="395"/>
      <c r="K6" s="372"/>
      <c r="L6" s="372"/>
    </row>
    <row r="7" spans="1:12" ht="31.15" customHeight="1" x14ac:dyDescent="0.25">
      <c r="A7" s="185" t="s">
        <v>8</v>
      </c>
      <c r="B7" s="185" t="s">
        <v>9</v>
      </c>
      <c r="C7" s="185" t="s">
        <v>10</v>
      </c>
      <c r="D7" s="189" t="s">
        <v>11</v>
      </c>
      <c r="E7" s="177">
        <v>250000</v>
      </c>
      <c r="F7" s="177">
        <v>4379600</v>
      </c>
      <c r="G7" s="150">
        <f>(E7/F7*100)</f>
        <v>5.7082838615398668</v>
      </c>
      <c r="H7" s="150">
        <f>IF(G7&gt;15,0,1-(G7/100))</f>
        <v>0.94291716138460135</v>
      </c>
      <c r="I7" s="190">
        <f>H7*10</f>
        <v>9.4291716138460142</v>
      </c>
      <c r="K7" s="373"/>
      <c r="L7" s="372"/>
    </row>
    <row r="8" spans="1:12" ht="25.5" x14ac:dyDescent="0.25">
      <c r="A8" s="185" t="s">
        <v>15</v>
      </c>
      <c r="B8" s="185" t="s">
        <v>12</v>
      </c>
      <c r="C8" s="185" t="s">
        <v>13</v>
      </c>
      <c r="D8" s="189" t="s">
        <v>14</v>
      </c>
      <c r="E8" s="177">
        <v>12576200</v>
      </c>
      <c r="F8" s="177">
        <v>777481300</v>
      </c>
      <c r="G8" s="150">
        <f t="shared" ref="G8:G18" si="0">(E8/F8*100)</f>
        <v>1.6175565894639525</v>
      </c>
      <c r="H8" s="150">
        <f t="shared" ref="H8:H18" si="1">IF(G8&gt;15,0,1-(G8/100))</f>
        <v>0.98382443410536047</v>
      </c>
      <c r="I8" s="190">
        <f t="shared" ref="I8:I18" si="2">H8*10</f>
        <v>9.8382443410536045</v>
      </c>
      <c r="K8" s="373"/>
      <c r="L8" s="372"/>
    </row>
    <row r="9" spans="1:12" ht="15.75" x14ac:dyDescent="0.25">
      <c r="A9" s="185" t="s">
        <v>16</v>
      </c>
      <c r="B9" s="185" t="s">
        <v>22</v>
      </c>
      <c r="C9" s="185" t="s">
        <v>23</v>
      </c>
      <c r="D9" s="189" t="s">
        <v>24</v>
      </c>
      <c r="E9" s="177">
        <v>200</v>
      </c>
      <c r="F9" s="177">
        <v>23834200</v>
      </c>
      <c r="G9" s="150">
        <f t="shared" si="0"/>
        <v>8.3913032533082716E-4</v>
      </c>
      <c r="H9" s="150">
        <f t="shared" si="1"/>
        <v>0.99999160869674664</v>
      </c>
      <c r="I9" s="190">
        <f t="shared" si="2"/>
        <v>9.9999160869674668</v>
      </c>
      <c r="K9" s="373"/>
      <c r="L9" s="372"/>
    </row>
    <row r="10" spans="1:12" ht="30" customHeight="1" x14ac:dyDescent="0.25">
      <c r="A10" s="185" t="s">
        <v>17</v>
      </c>
      <c r="B10" s="185" t="s">
        <v>25</v>
      </c>
      <c r="C10" s="185" t="s">
        <v>26</v>
      </c>
      <c r="D10" s="189" t="s">
        <v>27</v>
      </c>
      <c r="E10" s="177">
        <v>325800</v>
      </c>
      <c r="F10" s="177">
        <v>3857900</v>
      </c>
      <c r="G10" s="150">
        <f t="shared" si="0"/>
        <v>8.4450089426890287</v>
      </c>
      <c r="H10" s="150">
        <f t="shared" si="1"/>
        <v>0.91554991057310975</v>
      </c>
      <c r="I10" s="190">
        <f t="shared" si="2"/>
        <v>9.1554991057310975</v>
      </c>
      <c r="K10" s="373"/>
      <c r="L10" s="372"/>
    </row>
    <row r="11" spans="1:12" ht="40.15" customHeight="1" x14ac:dyDescent="0.25">
      <c r="A11" s="185" t="s">
        <v>18</v>
      </c>
      <c r="B11" s="185" t="s">
        <v>28</v>
      </c>
      <c r="C11" s="185" t="s">
        <v>29</v>
      </c>
      <c r="D11" s="189" t="s">
        <v>30</v>
      </c>
      <c r="E11" s="177">
        <v>2800</v>
      </c>
      <c r="F11" s="177">
        <v>6101200</v>
      </c>
      <c r="G11" s="150">
        <f t="shared" si="0"/>
        <v>4.5892611289582379E-2</v>
      </c>
      <c r="H11" s="150">
        <f t="shared" si="1"/>
        <v>0.99954107388710423</v>
      </c>
      <c r="I11" s="190">
        <f t="shared" si="2"/>
        <v>9.9954107388710423</v>
      </c>
      <c r="K11" s="373"/>
      <c r="L11" s="372"/>
    </row>
    <row r="12" spans="1:12" ht="28.15" customHeight="1" x14ac:dyDescent="0.25">
      <c r="A12" s="185" t="s">
        <v>19</v>
      </c>
      <c r="B12" s="185" t="s">
        <v>31</v>
      </c>
      <c r="C12" s="185" t="s">
        <v>32</v>
      </c>
      <c r="D12" s="189" t="s">
        <v>33</v>
      </c>
      <c r="E12" s="177"/>
      <c r="F12" s="177">
        <v>4082400</v>
      </c>
      <c r="G12" s="150">
        <f>(E12/F12*100)</f>
        <v>0</v>
      </c>
      <c r="H12" s="150">
        <f t="shared" si="1"/>
        <v>1</v>
      </c>
      <c r="I12" s="190">
        <f t="shared" si="2"/>
        <v>10</v>
      </c>
      <c r="K12" s="373"/>
      <c r="L12" s="372"/>
    </row>
    <row r="13" spans="1:12" ht="15.75" x14ac:dyDescent="0.25">
      <c r="A13" s="185" t="s">
        <v>20</v>
      </c>
      <c r="B13" s="185" t="s">
        <v>34</v>
      </c>
      <c r="C13" s="185" t="s">
        <v>35</v>
      </c>
      <c r="D13" s="189" t="s">
        <v>36</v>
      </c>
      <c r="E13" s="177">
        <v>3212340</v>
      </c>
      <c r="F13" s="177">
        <v>49657200</v>
      </c>
      <c r="G13" s="150">
        <f t="shared" si="0"/>
        <v>6.4690316812063511</v>
      </c>
      <c r="H13" s="150">
        <f t="shared" si="1"/>
        <v>0.9353096831879365</v>
      </c>
      <c r="I13" s="190">
        <f t="shared" si="2"/>
        <v>9.3530968318793644</v>
      </c>
      <c r="K13" s="373"/>
      <c r="L13" s="372"/>
    </row>
    <row r="14" spans="1:12" ht="16.899999999999999" customHeight="1" x14ac:dyDescent="0.25">
      <c r="A14" s="185" t="s">
        <v>21</v>
      </c>
      <c r="B14" s="185" t="s">
        <v>40</v>
      </c>
      <c r="C14" s="185" t="s">
        <v>38</v>
      </c>
      <c r="D14" s="189" t="s">
        <v>39</v>
      </c>
      <c r="E14" s="177">
        <v>52600761.409999996</v>
      </c>
      <c r="F14" s="177">
        <v>1790453215.9400001</v>
      </c>
      <c r="G14" s="150">
        <f t="shared" si="0"/>
        <v>2.9378461800457738</v>
      </c>
      <c r="H14" s="150">
        <f t="shared" si="1"/>
        <v>0.97062153819954222</v>
      </c>
      <c r="I14" s="190">
        <f t="shared" si="2"/>
        <v>9.7062153819954222</v>
      </c>
      <c r="K14" s="373"/>
      <c r="L14" s="372"/>
    </row>
    <row r="15" spans="1:12" ht="15.75" x14ac:dyDescent="0.25">
      <c r="A15" s="191">
        <v>9</v>
      </c>
      <c r="B15" s="185" t="s">
        <v>41</v>
      </c>
      <c r="C15" s="185" t="s">
        <v>42</v>
      </c>
      <c r="D15" s="189" t="s">
        <v>43</v>
      </c>
      <c r="E15" s="177">
        <v>699120</v>
      </c>
      <c r="F15" s="177">
        <v>119291700</v>
      </c>
      <c r="G15" s="150">
        <f t="shared" si="0"/>
        <v>0.58605921451366694</v>
      </c>
      <c r="H15" s="150">
        <f t="shared" si="1"/>
        <v>0.99413940785486332</v>
      </c>
      <c r="I15" s="190">
        <f t="shared" si="2"/>
        <v>9.9413940785486332</v>
      </c>
      <c r="K15" s="373"/>
      <c r="L15" s="372"/>
    </row>
    <row r="16" spans="1:12" ht="15.75" x14ac:dyDescent="0.25">
      <c r="A16" s="191">
        <v>10</v>
      </c>
      <c r="B16" s="185" t="s">
        <v>44</v>
      </c>
      <c r="C16" s="185" t="s">
        <v>45</v>
      </c>
      <c r="D16" s="189" t="s">
        <v>46</v>
      </c>
      <c r="E16" s="177">
        <v>74210</v>
      </c>
      <c r="F16" s="177">
        <v>24527900</v>
      </c>
      <c r="G16" s="150">
        <f t="shared" si="0"/>
        <v>0.30255341875986125</v>
      </c>
      <c r="H16" s="150">
        <f t="shared" si="1"/>
        <v>0.99697446581240134</v>
      </c>
      <c r="I16" s="190">
        <f t="shared" si="2"/>
        <v>9.9697446581240143</v>
      </c>
      <c r="K16" s="373"/>
      <c r="L16" s="372"/>
    </row>
    <row r="17" spans="1:12" ht="18" customHeight="1" x14ac:dyDescent="0.25">
      <c r="A17" s="191">
        <v>11</v>
      </c>
      <c r="B17" s="185" t="s">
        <v>47</v>
      </c>
      <c r="C17" s="185" t="s">
        <v>48</v>
      </c>
      <c r="D17" s="189" t="s">
        <v>49</v>
      </c>
      <c r="E17" s="177">
        <v>64000</v>
      </c>
      <c r="F17" s="177">
        <v>14438000</v>
      </c>
      <c r="G17" s="150">
        <f t="shared" si="0"/>
        <v>0.44327469178556589</v>
      </c>
      <c r="H17" s="150">
        <f t="shared" si="1"/>
        <v>0.99556725308214433</v>
      </c>
      <c r="I17" s="190">
        <f t="shared" si="2"/>
        <v>9.9556725308214435</v>
      </c>
      <c r="K17" s="373"/>
      <c r="L17" s="372"/>
    </row>
    <row r="18" spans="1:12" ht="32.450000000000003" customHeight="1" x14ac:dyDescent="0.25">
      <c r="A18" s="185" t="s">
        <v>37</v>
      </c>
      <c r="B18" s="185" t="s">
        <v>50</v>
      </c>
      <c r="C18" s="185" t="s">
        <v>51</v>
      </c>
      <c r="D18" s="189" t="s">
        <v>52</v>
      </c>
      <c r="E18" s="177">
        <v>282500</v>
      </c>
      <c r="F18" s="177">
        <v>102048700</v>
      </c>
      <c r="G18" s="150">
        <f t="shared" si="0"/>
        <v>0.27682861222141975</v>
      </c>
      <c r="H18" s="150">
        <f t="shared" si="1"/>
        <v>0.99723171387778575</v>
      </c>
      <c r="I18" s="190">
        <f t="shared" si="2"/>
        <v>9.9723171387778571</v>
      </c>
      <c r="K18" s="373"/>
      <c r="L18" s="372"/>
    </row>
    <row r="19" spans="1:12" ht="15.75" x14ac:dyDescent="0.25">
      <c r="A19" s="397" t="s">
        <v>58</v>
      </c>
      <c r="B19" s="397"/>
      <c r="C19" s="397"/>
      <c r="D19" s="397"/>
      <c r="E19" s="278">
        <f>E7+E8+E9+E10+E11+E12+E13+E14+E15+E16+E17+E18</f>
        <v>70087931.409999996</v>
      </c>
      <c r="F19" s="278">
        <f t="shared" ref="F19:I19" si="3">F7+F8+F9+F10+F11+F12+F13+F14+F15+F16+F17+F18</f>
        <v>2920153315.9400001</v>
      </c>
      <c r="G19" s="285">
        <f t="shared" si="3"/>
        <v>26.8331749338404</v>
      </c>
      <c r="H19" s="285">
        <f t="shared" si="3"/>
        <v>11.731668250661597</v>
      </c>
      <c r="I19" s="285">
        <f t="shared" si="3"/>
        <v>117.31668250661595</v>
      </c>
      <c r="K19" s="372"/>
      <c r="L19" s="372"/>
    </row>
    <row r="20" spans="1:12" ht="15.75" x14ac:dyDescent="0.25">
      <c r="A20" s="398" t="s">
        <v>188</v>
      </c>
      <c r="B20" s="398"/>
      <c r="C20" s="398"/>
      <c r="D20" s="398"/>
      <c r="E20" s="267"/>
      <c r="F20" s="268"/>
      <c r="G20" s="190">
        <f>G19/12</f>
        <v>2.2360979111533665</v>
      </c>
      <c r="H20" s="190">
        <f t="shared" ref="H20:I20" si="4">H19/12</f>
        <v>0.97763902088846644</v>
      </c>
      <c r="I20" s="190">
        <f t="shared" si="4"/>
        <v>9.7763902088846617</v>
      </c>
      <c r="K20" s="372"/>
      <c r="L20" s="372"/>
    </row>
    <row r="21" spans="1:12" ht="15.75" x14ac:dyDescent="0.25">
      <c r="A21" s="15"/>
      <c r="B21" s="15"/>
      <c r="C21" s="15"/>
      <c r="D21" s="15"/>
      <c r="E21" s="16"/>
      <c r="F21" s="17"/>
      <c r="G21" s="18"/>
      <c r="H21" s="18"/>
      <c r="I21" s="265"/>
      <c r="K21" s="372"/>
      <c r="L21" s="372"/>
    </row>
    <row r="22" spans="1:12" ht="15.75" x14ac:dyDescent="0.25">
      <c r="A22" s="15"/>
      <c r="B22" s="15"/>
      <c r="C22" s="15"/>
      <c r="D22" s="15"/>
      <c r="E22" s="39"/>
      <c r="F22" s="17"/>
      <c r="G22" s="17"/>
      <c r="H22" s="17"/>
      <c r="I22" s="17"/>
    </row>
    <row r="23" spans="1:12" ht="15.75" x14ac:dyDescent="0.25">
      <c r="A23" s="396" t="s">
        <v>209</v>
      </c>
      <c r="B23" s="396"/>
      <c r="C23" s="396"/>
      <c r="D23" s="396"/>
      <c r="E23" s="396"/>
      <c r="F23" s="396"/>
      <c r="G23" s="396"/>
      <c r="H23" s="396"/>
      <c r="I23" s="396"/>
    </row>
    <row r="24" spans="1:12" ht="15.75" x14ac:dyDescent="0.25">
      <c r="A24" s="387"/>
      <c r="B24" s="388"/>
      <c r="C24" s="389"/>
      <c r="D24" s="17"/>
      <c r="E24" s="17"/>
      <c r="F24" s="17"/>
      <c r="G24" s="17"/>
      <c r="H24" s="17"/>
      <c r="I24" s="17"/>
    </row>
  </sheetData>
  <mergeCells count="8">
    <mergeCell ref="A24:C24"/>
    <mergeCell ref="A2:I2"/>
    <mergeCell ref="E3:F3"/>
    <mergeCell ref="E4:F4"/>
    <mergeCell ref="I4:I6"/>
    <mergeCell ref="A23:I23"/>
    <mergeCell ref="A19:D19"/>
    <mergeCell ref="A20:D20"/>
  </mergeCells>
  <pageMargins left="0.7" right="0.7" top="0.75" bottom="0.75" header="0.3" footer="0.3"/>
  <pageSetup paperSize="9" scale="5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zoomScale="86" zoomScaleNormal="86" workbookViewId="0">
      <selection activeCell="G6" sqref="G6:G17"/>
    </sheetView>
  </sheetViews>
  <sheetFormatPr defaultColWidth="9.140625" defaultRowHeight="15.75" x14ac:dyDescent="0.25"/>
  <cols>
    <col min="1" max="1" width="3.85546875" style="24" customWidth="1"/>
    <col min="2" max="2" width="5.28515625" style="24" customWidth="1"/>
    <col min="3" max="3" width="14" style="24" customWidth="1"/>
    <col min="4" max="4" width="62.42578125" style="24" customWidth="1"/>
    <col min="5" max="5" width="19.5703125" style="24" customWidth="1"/>
    <col min="6" max="6" width="16.28515625" style="17" customWidth="1"/>
    <col min="7" max="7" width="21" style="17" customWidth="1"/>
    <col min="8" max="8" width="12.140625" style="17" customWidth="1"/>
    <col min="9" max="16384" width="9.140625" style="24"/>
  </cols>
  <sheetData>
    <row r="1" spans="1:8" ht="48.75" customHeight="1" x14ac:dyDescent="0.25">
      <c r="A1" s="473" t="s">
        <v>84</v>
      </c>
      <c r="B1" s="474"/>
      <c r="C1" s="474"/>
      <c r="D1" s="474"/>
      <c r="E1" s="474"/>
      <c r="F1" s="474"/>
      <c r="G1" s="474"/>
      <c r="H1" s="474"/>
    </row>
    <row r="2" spans="1:8" ht="16.5" thickBot="1" x14ac:dyDescent="0.3">
      <c r="D2" s="137" t="s">
        <v>75</v>
      </c>
      <c r="E2" s="138" t="s">
        <v>201</v>
      </c>
    </row>
    <row r="3" spans="1:8" ht="50.25" customHeight="1" x14ac:dyDescent="0.25">
      <c r="A3" s="77" t="s">
        <v>0</v>
      </c>
      <c r="B3" s="78"/>
      <c r="C3" s="78" t="s">
        <v>1</v>
      </c>
      <c r="D3" s="78" t="s">
        <v>2</v>
      </c>
      <c r="E3" s="468" t="s">
        <v>60</v>
      </c>
      <c r="F3" s="469"/>
      <c r="G3" s="79" t="s">
        <v>63</v>
      </c>
      <c r="H3" s="470" t="s">
        <v>57</v>
      </c>
    </row>
    <row r="4" spans="1:8" ht="50.25" customHeight="1" x14ac:dyDescent="0.25">
      <c r="A4" s="80"/>
      <c r="B4" s="76"/>
      <c r="C4" s="76"/>
      <c r="D4" s="76"/>
      <c r="E4" s="76" t="s">
        <v>61</v>
      </c>
      <c r="F4" s="74" t="s">
        <v>79</v>
      </c>
      <c r="G4" s="74" t="s">
        <v>71</v>
      </c>
      <c r="H4" s="471"/>
    </row>
    <row r="5" spans="1:8" ht="48.75" customHeight="1" thickBot="1" x14ac:dyDescent="0.3">
      <c r="A5" s="157"/>
      <c r="B5" s="158"/>
      <c r="C5" s="158"/>
      <c r="D5" s="158"/>
      <c r="E5" s="158"/>
      <c r="F5" s="159" t="s">
        <v>62</v>
      </c>
      <c r="G5" s="160" t="s">
        <v>64</v>
      </c>
      <c r="H5" s="472"/>
    </row>
    <row r="6" spans="1:8" x14ac:dyDescent="0.25">
      <c r="A6" s="151" t="s">
        <v>8</v>
      </c>
      <c r="B6" s="152" t="s">
        <v>9</v>
      </c>
      <c r="C6" s="152" t="s">
        <v>10</v>
      </c>
      <c r="D6" s="153" t="s">
        <v>11</v>
      </c>
      <c r="E6" s="154">
        <v>0</v>
      </c>
      <c r="F6" s="155">
        <v>0</v>
      </c>
      <c r="G6" s="161">
        <f>IF(F6&lt;10,(1-(F6/10)),0)</f>
        <v>1</v>
      </c>
      <c r="H6" s="156">
        <f>G6*5</f>
        <v>5</v>
      </c>
    </row>
    <row r="7" spans="1:8" x14ac:dyDescent="0.25">
      <c r="A7" s="31" t="s">
        <v>15</v>
      </c>
      <c r="B7" s="32" t="s">
        <v>12</v>
      </c>
      <c r="C7" s="32" t="s">
        <v>13</v>
      </c>
      <c r="D7" s="33" t="s">
        <v>14</v>
      </c>
      <c r="E7" s="1">
        <v>0</v>
      </c>
      <c r="F7" s="81">
        <v>0</v>
      </c>
      <c r="G7" s="150">
        <f t="shared" ref="G7:G17" si="0">IF(F7&lt;10,(1-(F7/10)),0)</f>
        <v>1</v>
      </c>
      <c r="H7" s="11">
        <f t="shared" ref="H7:H17" si="1">G7*5</f>
        <v>5</v>
      </c>
    </row>
    <row r="8" spans="1:8" x14ac:dyDescent="0.25">
      <c r="A8" s="31" t="s">
        <v>16</v>
      </c>
      <c r="B8" s="32" t="s">
        <v>22</v>
      </c>
      <c r="C8" s="32" t="s">
        <v>23</v>
      </c>
      <c r="D8" s="33" t="s">
        <v>24</v>
      </c>
      <c r="E8" s="1">
        <v>0</v>
      </c>
      <c r="F8" s="81">
        <v>0</v>
      </c>
      <c r="G8" s="150">
        <f t="shared" si="0"/>
        <v>1</v>
      </c>
      <c r="H8" s="11">
        <f t="shared" si="1"/>
        <v>5</v>
      </c>
    </row>
    <row r="9" spans="1:8" ht="18.75" customHeight="1" x14ac:dyDescent="0.25">
      <c r="A9" s="31" t="s">
        <v>17</v>
      </c>
      <c r="B9" s="32" t="s">
        <v>25</v>
      </c>
      <c r="C9" s="32" t="s">
        <v>26</v>
      </c>
      <c r="D9" s="33" t="s">
        <v>27</v>
      </c>
      <c r="E9" s="1">
        <v>0</v>
      </c>
      <c r="F9" s="81">
        <v>0</v>
      </c>
      <c r="G9" s="150">
        <f t="shared" si="0"/>
        <v>1</v>
      </c>
      <c r="H9" s="11">
        <f t="shared" si="1"/>
        <v>5</v>
      </c>
    </row>
    <row r="10" spans="1:8" ht="31.5" x14ac:dyDescent="0.25">
      <c r="A10" s="31" t="s">
        <v>18</v>
      </c>
      <c r="B10" s="32" t="s">
        <v>28</v>
      </c>
      <c r="C10" s="32" t="s">
        <v>29</v>
      </c>
      <c r="D10" s="33" t="s">
        <v>30</v>
      </c>
      <c r="E10" s="1">
        <v>0</v>
      </c>
      <c r="F10" s="81">
        <v>0</v>
      </c>
      <c r="G10" s="150">
        <f t="shared" si="0"/>
        <v>1</v>
      </c>
      <c r="H10" s="11">
        <f t="shared" si="1"/>
        <v>5</v>
      </c>
    </row>
    <row r="11" spans="1:8" ht="18" customHeight="1" x14ac:dyDescent="0.25">
      <c r="A11" s="31" t="s">
        <v>19</v>
      </c>
      <c r="B11" s="32" t="s">
        <v>31</v>
      </c>
      <c r="C11" s="32" t="s">
        <v>32</v>
      </c>
      <c r="D11" s="33" t="s">
        <v>33</v>
      </c>
      <c r="E11" s="1">
        <v>0</v>
      </c>
      <c r="F11" s="81">
        <v>0</v>
      </c>
      <c r="G11" s="150">
        <f t="shared" si="0"/>
        <v>1</v>
      </c>
      <c r="H11" s="11">
        <f t="shared" si="1"/>
        <v>5</v>
      </c>
    </row>
    <row r="12" spans="1:8" x14ac:dyDescent="0.25">
      <c r="A12" s="31" t="s">
        <v>20</v>
      </c>
      <c r="B12" s="32" t="s">
        <v>34</v>
      </c>
      <c r="C12" s="32" t="s">
        <v>35</v>
      </c>
      <c r="D12" s="33" t="s">
        <v>36</v>
      </c>
      <c r="E12" s="1">
        <v>0</v>
      </c>
      <c r="F12" s="81">
        <v>0</v>
      </c>
      <c r="G12" s="150">
        <f t="shared" si="0"/>
        <v>1</v>
      </c>
      <c r="H12" s="11">
        <f t="shared" si="1"/>
        <v>5</v>
      </c>
    </row>
    <row r="13" spans="1:8" x14ac:dyDescent="0.25">
      <c r="A13" s="31" t="s">
        <v>21</v>
      </c>
      <c r="B13" s="32" t="s">
        <v>40</v>
      </c>
      <c r="C13" s="32" t="s">
        <v>38</v>
      </c>
      <c r="D13" s="33" t="s">
        <v>39</v>
      </c>
      <c r="E13" s="1">
        <v>0</v>
      </c>
      <c r="F13" s="81">
        <v>0</v>
      </c>
      <c r="G13" s="150">
        <f t="shared" si="0"/>
        <v>1</v>
      </c>
      <c r="H13" s="11">
        <f t="shared" si="1"/>
        <v>5</v>
      </c>
    </row>
    <row r="14" spans="1:8" x14ac:dyDescent="0.25">
      <c r="A14" s="34">
        <v>9</v>
      </c>
      <c r="B14" s="32" t="s">
        <v>41</v>
      </c>
      <c r="C14" s="32" t="s">
        <v>42</v>
      </c>
      <c r="D14" s="33" t="s">
        <v>43</v>
      </c>
      <c r="E14" s="1">
        <v>0</v>
      </c>
      <c r="F14" s="81">
        <v>0</v>
      </c>
      <c r="G14" s="150">
        <f t="shared" si="0"/>
        <v>1</v>
      </c>
      <c r="H14" s="11">
        <f t="shared" si="1"/>
        <v>5</v>
      </c>
    </row>
    <row r="15" spans="1:8" x14ac:dyDescent="0.25">
      <c r="A15" s="34">
        <v>10</v>
      </c>
      <c r="B15" s="32" t="s">
        <v>44</v>
      </c>
      <c r="C15" s="32" t="s">
        <v>45</v>
      </c>
      <c r="D15" s="33" t="s">
        <v>46</v>
      </c>
      <c r="E15" s="1">
        <v>0</v>
      </c>
      <c r="F15" s="81">
        <v>0</v>
      </c>
      <c r="G15" s="150">
        <f t="shared" si="0"/>
        <v>1</v>
      </c>
      <c r="H15" s="11">
        <f t="shared" si="1"/>
        <v>5</v>
      </c>
    </row>
    <row r="16" spans="1:8" x14ac:dyDescent="0.25">
      <c r="A16" s="34">
        <v>11</v>
      </c>
      <c r="B16" s="32" t="s">
        <v>47</v>
      </c>
      <c r="C16" s="32" t="s">
        <v>48</v>
      </c>
      <c r="D16" s="33" t="s">
        <v>49</v>
      </c>
      <c r="E16" s="1">
        <v>0</v>
      </c>
      <c r="F16" s="81">
        <v>0</v>
      </c>
      <c r="G16" s="150">
        <f t="shared" si="0"/>
        <v>1</v>
      </c>
      <c r="H16" s="11">
        <f t="shared" si="1"/>
        <v>5</v>
      </c>
    </row>
    <row r="17" spans="1:9" ht="18" customHeight="1" x14ac:dyDescent="0.25">
      <c r="A17" s="31" t="s">
        <v>37</v>
      </c>
      <c r="B17" s="32" t="s">
        <v>50</v>
      </c>
      <c r="C17" s="32" t="s">
        <v>51</v>
      </c>
      <c r="D17" s="33" t="s">
        <v>52</v>
      </c>
      <c r="E17" s="1">
        <v>0</v>
      </c>
      <c r="F17" s="81">
        <v>0</v>
      </c>
      <c r="G17" s="150">
        <f t="shared" si="0"/>
        <v>1</v>
      </c>
      <c r="H17" s="11">
        <f t="shared" si="1"/>
        <v>5</v>
      </c>
    </row>
    <row r="18" spans="1:9" s="38" customFormat="1" ht="16.5" thickBot="1" x14ac:dyDescent="0.3">
      <c r="A18" s="35" t="s">
        <v>37</v>
      </c>
      <c r="B18" s="36"/>
      <c r="C18" s="36"/>
      <c r="D18" s="37" t="s">
        <v>58</v>
      </c>
      <c r="E18" s="19">
        <f>E6+E7+E8+E9+E10+E11+E12+E13+E14+E15+E16+E17</f>
        <v>0</v>
      </c>
      <c r="F18" s="21">
        <f>SUM(F6:F17)</f>
        <v>0</v>
      </c>
      <c r="G18" s="22"/>
      <c r="H18" s="23">
        <f>SUM(H6:H17)/12</f>
        <v>5</v>
      </c>
    </row>
    <row r="19" spans="1:9" x14ac:dyDescent="0.25">
      <c r="A19" s="15"/>
      <c r="B19" s="15"/>
      <c r="C19" s="15"/>
      <c r="D19" s="15"/>
      <c r="E19" s="15"/>
    </row>
    <row r="20" spans="1:9" x14ac:dyDescent="0.25">
      <c r="A20" s="15"/>
      <c r="B20" s="15"/>
      <c r="C20" s="15"/>
      <c r="D20" s="15" t="s">
        <v>55</v>
      </c>
      <c r="E20" s="16"/>
      <c r="F20" s="18">
        <f>F18/A18</f>
        <v>0</v>
      </c>
    </row>
    <row r="21" spans="1:9" x14ac:dyDescent="0.25">
      <c r="A21" s="15"/>
      <c r="B21" s="15"/>
      <c r="C21" s="15"/>
      <c r="D21" s="15"/>
      <c r="E21" s="39"/>
    </row>
    <row r="22" spans="1:9" s="17" customFormat="1" x14ac:dyDescent="0.25">
      <c r="A22" s="396" t="s">
        <v>89</v>
      </c>
      <c r="B22" s="396"/>
      <c r="C22" s="396"/>
      <c r="D22" s="396"/>
      <c r="E22" s="396"/>
      <c r="F22" s="396"/>
      <c r="G22" s="396"/>
      <c r="H22" s="396"/>
      <c r="I22" s="396"/>
    </row>
    <row r="23" spans="1:9" s="17" customFormat="1" x14ac:dyDescent="0.25">
      <c r="A23" s="387">
        <v>44284</v>
      </c>
      <c r="B23" s="388"/>
      <c r="C23" s="389"/>
    </row>
    <row r="24" spans="1:9" x14ac:dyDescent="0.25">
      <c r="A24" s="15"/>
      <c r="B24" s="15"/>
      <c r="C24" s="15"/>
      <c r="D24" s="15"/>
      <c r="E24" s="15"/>
    </row>
    <row r="25" spans="1:9" x14ac:dyDescent="0.25">
      <c r="A25" s="15"/>
      <c r="B25" s="15"/>
      <c r="C25" s="15"/>
      <c r="D25" s="15"/>
      <c r="E25" s="15"/>
    </row>
    <row r="26" spans="1:9" x14ac:dyDescent="0.25">
      <c r="A26" s="15"/>
      <c r="B26" s="15"/>
      <c r="C26" s="15"/>
      <c r="D26" s="15"/>
      <c r="E26" s="15"/>
    </row>
    <row r="31" spans="1:9" x14ac:dyDescent="0.25">
      <c r="E31" s="40"/>
    </row>
    <row r="33" spans="1:5" x14ac:dyDescent="0.25">
      <c r="A33" s="41"/>
      <c r="B33" s="41"/>
      <c r="C33" s="15"/>
      <c r="D33" s="26"/>
      <c r="E33" s="15"/>
    </row>
  </sheetData>
  <mergeCells count="5">
    <mergeCell ref="E3:F3"/>
    <mergeCell ref="H3:H5"/>
    <mergeCell ref="A1:H1"/>
    <mergeCell ref="A22:I22"/>
    <mergeCell ref="A23:C23"/>
  </mergeCells>
  <pageMargins left="0.70866141732283472" right="0.70866141732283472" top="0.74803149606299213" bottom="0.74803149606299213" header="0.31496062992125984" footer="0.31496062992125984"/>
  <pageSetup paperSize="9" scale="8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0"/>
  <sheetViews>
    <sheetView zoomScale="80" zoomScaleNormal="80" workbookViewId="0">
      <selection activeCell="I7" sqref="I7"/>
    </sheetView>
  </sheetViews>
  <sheetFormatPr defaultColWidth="9.140625" defaultRowHeight="15" x14ac:dyDescent="0.25"/>
  <cols>
    <col min="1" max="1" width="6.7109375" style="195" customWidth="1"/>
    <col min="2" max="2" width="9.140625" style="195" customWidth="1"/>
    <col min="3" max="3" width="13.28515625" style="195" customWidth="1"/>
    <col min="4" max="4" width="34.5703125" style="195" customWidth="1"/>
    <col min="5" max="5" width="17.7109375" style="195" customWidth="1"/>
    <col min="6" max="6" width="18.5703125" style="195" customWidth="1"/>
    <col min="7" max="7" width="19.7109375" style="195" customWidth="1"/>
    <col min="8" max="8" width="28.7109375" style="195" customWidth="1"/>
    <col min="9" max="9" width="14" style="195" customWidth="1"/>
    <col min="10" max="16384" width="9.140625" style="195"/>
  </cols>
  <sheetData>
    <row r="1" spans="1:9" ht="18.75" x14ac:dyDescent="0.25">
      <c r="A1" s="476" t="s">
        <v>204</v>
      </c>
      <c r="B1" s="477"/>
      <c r="C1" s="477"/>
      <c r="D1" s="477"/>
      <c r="E1" s="477"/>
      <c r="F1" s="477"/>
      <c r="G1" s="477"/>
      <c r="H1" s="477"/>
      <c r="I1" s="477"/>
    </row>
    <row r="2" spans="1:9" ht="15.6" x14ac:dyDescent="0.3">
      <c r="A2" s="196"/>
      <c r="B2" s="196"/>
      <c r="C2" s="196"/>
      <c r="D2" s="197"/>
      <c r="E2" s="478"/>
      <c r="F2" s="478"/>
      <c r="G2" s="198"/>
      <c r="H2" s="198"/>
      <c r="I2" s="198"/>
    </row>
    <row r="3" spans="1:9" ht="99.75" customHeight="1" x14ac:dyDescent="0.25">
      <c r="A3" s="482" t="s">
        <v>0</v>
      </c>
      <c r="B3" s="482" t="s">
        <v>109</v>
      </c>
      <c r="C3" s="482" t="s">
        <v>1</v>
      </c>
      <c r="D3" s="482" t="s">
        <v>2</v>
      </c>
      <c r="E3" s="193" t="s">
        <v>113</v>
      </c>
      <c r="F3" s="194" t="s">
        <v>112</v>
      </c>
      <c r="G3" s="193" t="s">
        <v>79</v>
      </c>
      <c r="H3" s="193" t="s">
        <v>118</v>
      </c>
      <c r="I3" s="451" t="s">
        <v>57</v>
      </c>
    </row>
    <row r="4" spans="1:9" ht="76.5" x14ac:dyDescent="0.25">
      <c r="A4" s="483"/>
      <c r="B4" s="483"/>
      <c r="C4" s="483"/>
      <c r="D4" s="483"/>
      <c r="E4" s="199" t="s">
        <v>111</v>
      </c>
      <c r="F4" s="200" t="s">
        <v>110</v>
      </c>
      <c r="G4" s="199" t="s">
        <v>114</v>
      </c>
      <c r="H4" s="209" t="s">
        <v>117</v>
      </c>
      <c r="I4" s="451"/>
    </row>
    <row r="5" spans="1:9" ht="27" customHeight="1" x14ac:dyDescent="0.25">
      <c r="A5" s="185" t="s">
        <v>8</v>
      </c>
      <c r="B5" s="185" t="s">
        <v>9</v>
      </c>
      <c r="C5" s="185" t="s">
        <v>10</v>
      </c>
      <c r="D5" s="201" t="s">
        <v>11</v>
      </c>
      <c r="E5" s="328"/>
      <c r="F5" s="328"/>
      <c r="G5" s="190" t="e">
        <f t="shared" ref="G5:G16" si="0">(F5/E5)*100</f>
        <v>#DIV/0!</v>
      </c>
      <c r="H5" s="190">
        <v>1</v>
      </c>
      <c r="I5" s="190">
        <f>H5*5</f>
        <v>5</v>
      </c>
    </row>
    <row r="6" spans="1:9" ht="27" customHeight="1" x14ac:dyDescent="0.25">
      <c r="A6" s="185" t="s">
        <v>15</v>
      </c>
      <c r="B6" s="185" t="s">
        <v>12</v>
      </c>
      <c r="C6" s="185" t="s">
        <v>13</v>
      </c>
      <c r="D6" s="201" t="s">
        <v>14</v>
      </c>
      <c r="E6" s="328">
        <v>124020720.48999999</v>
      </c>
      <c r="F6" s="328">
        <v>131993707.04000001</v>
      </c>
      <c r="G6" s="190">
        <f t="shared" si="0"/>
        <v>106.42875361350839</v>
      </c>
      <c r="H6" s="190">
        <v>0.5</v>
      </c>
      <c r="I6" s="190">
        <f>H6*5</f>
        <v>2.5</v>
      </c>
    </row>
    <row r="7" spans="1:9" ht="27" customHeight="1" x14ac:dyDescent="0.25">
      <c r="A7" s="185" t="s">
        <v>16</v>
      </c>
      <c r="B7" s="185" t="s">
        <v>22</v>
      </c>
      <c r="C7" s="185" t="s">
        <v>23</v>
      </c>
      <c r="D7" s="201" t="s">
        <v>24</v>
      </c>
      <c r="E7" s="328">
        <v>5415</v>
      </c>
      <c r="F7" s="328">
        <v>5415</v>
      </c>
      <c r="G7" s="190">
        <f t="shared" si="0"/>
        <v>100</v>
      </c>
      <c r="H7" s="190">
        <v>1</v>
      </c>
      <c r="I7" s="190">
        <f t="shared" ref="I7:I15" si="1">H7*5</f>
        <v>5</v>
      </c>
    </row>
    <row r="8" spans="1:9" ht="27" customHeight="1" x14ac:dyDescent="0.25">
      <c r="A8" s="185" t="s">
        <v>17</v>
      </c>
      <c r="B8" s="185" t="s">
        <v>25</v>
      </c>
      <c r="C8" s="185" t="s">
        <v>26</v>
      </c>
      <c r="D8" s="201" t="s">
        <v>27</v>
      </c>
      <c r="E8" s="328">
        <v>84465.39</v>
      </c>
      <c r="F8" s="328">
        <v>84465.39</v>
      </c>
      <c r="G8" s="190">
        <f t="shared" si="0"/>
        <v>100</v>
      </c>
      <c r="H8" s="190">
        <v>1</v>
      </c>
      <c r="I8" s="190">
        <f t="shared" si="1"/>
        <v>5</v>
      </c>
    </row>
    <row r="9" spans="1:9" ht="40.5" customHeight="1" x14ac:dyDescent="0.25">
      <c r="A9" s="185" t="s">
        <v>18</v>
      </c>
      <c r="B9" s="185" t="s">
        <v>28</v>
      </c>
      <c r="C9" s="185" t="s">
        <v>29</v>
      </c>
      <c r="D9" s="201" t="s">
        <v>30</v>
      </c>
      <c r="E9" s="328">
        <v>40302.949999999997</v>
      </c>
      <c r="F9" s="328">
        <v>37302.949999999997</v>
      </c>
      <c r="G9" s="190">
        <f t="shared" si="0"/>
        <v>92.556376146163004</v>
      </c>
      <c r="H9" s="190">
        <v>0</v>
      </c>
      <c r="I9" s="190">
        <f t="shared" si="1"/>
        <v>0</v>
      </c>
    </row>
    <row r="10" spans="1:9" ht="27" customHeight="1" x14ac:dyDescent="0.25">
      <c r="A10" s="185" t="s">
        <v>19</v>
      </c>
      <c r="B10" s="185" t="s">
        <v>31</v>
      </c>
      <c r="C10" s="185" t="s">
        <v>32</v>
      </c>
      <c r="D10" s="201" t="s">
        <v>33</v>
      </c>
      <c r="E10" s="328"/>
      <c r="F10" s="328"/>
      <c r="G10" s="190" t="e">
        <f t="shared" si="0"/>
        <v>#DIV/0!</v>
      </c>
      <c r="H10" s="190">
        <v>1</v>
      </c>
      <c r="I10" s="190">
        <f t="shared" si="1"/>
        <v>5</v>
      </c>
    </row>
    <row r="11" spans="1:9" ht="27" customHeight="1" x14ac:dyDescent="0.25">
      <c r="A11" s="185" t="s">
        <v>20</v>
      </c>
      <c r="B11" s="185" t="s">
        <v>34</v>
      </c>
      <c r="C11" s="185" t="s">
        <v>35</v>
      </c>
      <c r="D11" s="201" t="s">
        <v>36</v>
      </c>
      <c r="E11" s="328">
        <v>3882519.7</v>
      </c>
      <c r="F11" s="328">
        <v>4186879.15</v>
      </c>
      <c r="G11" s="190">
        <f t="shared" si="0"/>
        <v>107.8392248724456</v>
      </c>
      <c r="H11" s="190">
        <v>0.5</v>
      </c>
      <c r="I11" s="190">
        <f t="shared" si="1"/>
        <v>2.5</v>
      </c>
    </row>
    <row r="12" spans="1:9" ht="27" customHeight="1" x14ac:dyDescent="0.25">
      <c r="A12" s="185" t="s">
        <v>21</v>
      </c>
      <c r="B12" s="185" t="s">
        <v>40</v>
      </c>
      <c r="C12" s="185" t="s">
        <v>38</v>
      </c>
      <c r="D12" s="201" t="s">
        <v>39</v>
      </c>
      <c r="E12" s="328">
        <v>8634161.8000000007</v>
      </c>
      <c r="F12" s="328">
        <v>8634186.8900000006</v>
      </c>
      <c r="G12" s="190">
        <f t="shared" si="0"/>
        <v>100.00029058987521</v>
      </c>
      <c r="H12" s="190">
        <v>1</v>
      </c>
      <c r="I12" s="190">
        <f>H12*5</f>
        <v>5</v>
      </c>
    </row>
    <row r="13" spans="1:9" ht="27" customHeight="1" x14ac:dyDescent="0.25">
      <c r="A13" s="191">
        <v>9</v>
      </c>
      <c r="B13" s="185" t="s">
        <v>41</v>
      </c>
      <c r="C13" s="185" t="s">
        <v>42</v>
      </c>
      <c r="D13" s="201" t="s">
        <v>43</v>
      </c>
      <c r="E13" s="328">
        <v>64700.78</v>
      </c>
      <c r="F13" s="328">
        <v>64700.78</v>
      </c>
      <c r="G13" s="190">
        <f t="shared" si="0"/>
        <v>100</v>
      </c>
      <c r="H13" s="190">
        <v>1</v>
      </c>
      <c r="I13" s="190">
        <f t="shared" si="1"/>
        <v>5</v>
      </c>
    </row>
    <row r="14" spans="1:9" ht="27" customHeight="1" x14ac:dyDescent="0.25">
      <c r="A14" s="191">
        <v>10</v>
      </c>
      <c r="B14" s="185" t="s">
        <v>44</v>
      </c>
      <c r="C14" s="185" t="s">
        <v>45</v>
      </c>
      <c r="D14" s="201" t="s">
        <v>46</v>
      </c>
      <c r="E14" s="328">
        <v>17805.79</v>
      </c>
      <c r="F14" s="328">
        <v>17805.79</v>
      </c>
      <c r="G14" s="190">
        <f t="shared" si="0"/>
        <v>100</v>
      </c>
      <c r="H14" s="190">
        <v>1</v>
      </c>
      <c r="I14" s="190">
        <f t="shared" si="1"/>
        <v>5</v>
      </c>
    </row>
    <row r="15" spans="1:9" ht="27" customHeight="1" x14ac:dyDescent="0.25">
      <c r="A15" s="191">
        <v>11</v>
      </c>
      <c r="B15" s="185" t="s">
        <v>47</v>
      </c>
      <c r="C15" s="185" t="s">
        <v>48</v>
      </c>
      <c r="D15" s="201" t="s">
        <v>49</v>
      </c>
      <c r="E15" s="328">
        <v>149569.79999999999</v>
      </c>
      <c r="F15" s="328">
        <v>149569.79999999999</v>
      </c>
      <c r="G15" s="190">
        <f t="shared" si="0"/>
        <v>100</v>
      </c>
      <c r="H15" s="190">
        <v>1</v>
      </c>
      <c r="I15" s="190">
        <f t="shared" si="1"/>
        <v>5</v>
      </c>
    </row>
    <row r="16" spans="1:9" ht="27" customHeight="1" x14ac:dyDescent="0.25">
      <c r="A16" s="185" t="s">
        <v>37</v>
      </c>
      <c r="B16" s="185" t="s">
        <v>50</v>
      </c>
      <c r="C16" s="185" t="s">
        <v>51</v>
      </c>
      <c r="D16" s="201" t="s">
        <v>52</v>
      </c>
      <c r="E16" s="328">
        <v>511296.58</v>
      </c>
      <c r="F16" s="328">
        <v>511296.58</v>
      </c>
      <c r="G16" s="190">
        <f t="shared" si="0"/>
        <v>100</v>
      </c>
      <c r="H16" s="190">
        <v>1</v>
      </c>
      <c r="I16" s="190">
        <f>H16*5</f>
        <v>5</v>
      </c>
    </row>
    <row r="17" spans="1:9" ht="27" customHeight="1" x14ac:dyDescent="0.25">
      <c r="A17" s="202" t="s">
        <v>37</v>
      </c>
      <c r="B17" s="202"/>
      <c r="C17" s="202"/>
      <c r="D17" s="203" t="s">
        <v>58</v>
      </c>
      <c r="E17" s="208">
        <f>SUM(E5:E16)</f>
        <v>137410958.28000003</v>
      </c>
      <c r="F17" s="208">
        <f>SUM(F5:F16)</f>
        <v>145685329.37000003</v>
      </c>
      <c r="G17" s="192">
        <f>(F17/E17)*100</f>
        <v>106.02162388907838</v>
      </c>
      <c r="H17" s="192">
        <f>SUM(H5:H16)</f>
        <v>10</v>
      </c>
      <c r="I17" s="192">
        <f>SUM(I5:I16)/12</f>
        <v>4.166666666666667</v>
      </c>
    </row>
    <row r="18" spans="1:9" ht="15.75" x14ac:dyDescent="0.25">
      <c r="A18" s="204"/>
      <c r="B18" s="204"/>
      <c r="C18" s="204"/>
      <c r="D18" s="204"/>
      <c r="E18" s="205"/>
      <c r="F18" s="198"/>
      <c r="G18" s="198"/>
      <c r="H18" s="198"/>
      <c r="I18" s="198"/>
    </row>
    <row r="19" spans="1:9" s="207" customFormat="1" ht="18.75" x14ac:dyDescent="0.25">
      <c r="A19" s="484" t="s">
        <v>115</v>
      </c>
      <c r="B19" s="484"/>
      <c r="C19" s="484"/>
      <c r="D19" s="484"/>
      <c r="E19" s="484"/>
      <c r="F19" s="484"/>
      <c r="G19" s="206"/>
      <c r="H19" s="475" t="s">
        <v>116</v>
      </c>
      <c r="I19" s="475"/>
    </row>
    <row r="20" spans="1:9" ht="15.75" x14ac:dyDescent="0.25">
      <c r="A20" s="479"/>
      <c r="B20" s="480"/>
      <c r="C20" s="481"/>
      <c r="D20" s="198"/>
      <c r="E20" s="198"/>
      <c r="F20" s="198"/>
      <c r="G20" s="198"/>
      <c r="H20" s="198"/>
      <c r="I20" s="198"/>
    </row>
  </sheetData>
  <mergeCells count="10">
    <mergeCell ref="H19:I19"/>
    <mergeCell ref="A1:I1"/>
    <mergeCell ref="E2:F2"/>
    <mergeCell ref="I3:I4"/>
    <mergeCell ref="A20:C20"/>
    <mergeCell ref="A3:A4"/>
    <mergeCell ref="B3:B4"/>
    <mergeCell ref="C3:C4"/>
    <mergeCell ref="D3:D4"/>
    <mergeCell ref="A19:F1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4"/>
  <sheetViews>
    <sheetView view="pageBreakPreview" zoomScale="76" zoomScaleNormal="100" zoomScaleSheetLayoutView="76" workbookViewId="0">
      <selection activeCell="F36" sqref="F36"/>
    </sheetView>
  </sheetViews>
  <sheetFormatPr defaultRowHeight="15" x14ac:dyDescent="0.25"/>
  <cols>
    <col min="1" max="1" width="6.7109375" customWidth="1"/>
    <col min="2" max="2" width="10.85546875" customWidth="1"/>
    <col min="3" max="3" width="13.28515625" customWidth="1"/>
    <col min="4" max="4" width="28.85546875" customWidth="1"/>
    <col min="5" max="5" width="17.5703125" customWidth="1"/>
    <col min="6" max="6" width="19.42578125" customWidth="1"/>
    <col min="7" max="7" width="19.7109375" customWidth="1"/>
    <col min="8" max="8" width="24.5703125" customWidth="1"/>
    <col min="9" max="9" width="14" customWidth="1"/>
  </cols>
  <sheetData>
    <row r="2" spans="1:9" ht="33.6" customHeight="1" x14ac:dyDescent="0.25">
      <c r="A2" s="390" t="s">
        <v>217</v>
      </c>
      <c r="B2" s="391"/>
      <c r="C2" s="391"/>
      <c r="D2" s="391"/>
      <c r="E2" s="391"/>
      <c r="F2" s="391"/>
      <c r="G2" s="391"/>
      <c r="H2" s="391"/>
      <c r="I2" s="391"/>
    </row>
    <row r="3" spans="1:9" ht="15.6" x14ac:dyDescent="0.3">
      <c r="A3" s="24"/>
      <c r="B3" s="24"/>
      <c r="C3" s="24"/>
      <c r="D3" s="163"/>
      <c r="E3" s="392"/>
      <c r="F3" s="392"/>
      <c r="G3" s="17"/>
      <c r="H3" s="17"/>
      <c r="I3" s="17"/>
    </row>
    <row r="4" spans="1:9" ht="31.5" x14ac:dyDescent="0.25">
      <c r="A4" s="219" t="s">
        <v>0</v>
      </c>
      <c r="B4" s="219" t="s">
        <v>109</v>
      </c>
      <c r="C4" s="219" t="s">
        <v>1</v>
      </c>
      <c r="D4" s="219" t="s">
        <v>2</v>
      </c>
      <c r="E4" s="393" t="s">
        <v>102</v>
      </c>
      <c r="F4" s="393"/>
      <c r="G4" s="286"/>
      <c r="H4" s="286"/>
      <c r="I4" s="394" t="s">
        <v>57</v>
      </c>
    </row>
    <row r="5" spans="1:9" ht="39" customHeight="1" x14ac:dyDescent="0.25">
      <c r="A5" s="219"/>
      <c r="B5" s="219"/>
      <c r="C5" s="219"/>
      <c r="D5" s="219"/>
      <c r="E5" s="219" t="s">
        <v>103</v>
      </c>
      <c r="F5" s="286" t="s">
        <v>95</v>
      </c>
      <c r="G5" s="286" t="s">
        <v>79</v>
      </c>
      <c r="H5" s="286" t="s">
        <v>72</v>
      </c>
      <c r="I5" s="395"/>
    </row>
    <row r="6" spans="1:9" ht="35.450000000000003" customHeight="1" x14ac:dyDescent="0.25">
      <c r="A6" s="219"/>
      <c r="B6" s="219"/>
      <c r="C6" s="219"/>
      <c r="D6" s="219"/>
      <c r="E6" s="219" t="s">
        <v>104</v>
      </c>
      <c r="F6" s="286" t="s">
        <v>105</v>
      </c>
      <c r="G6" s="286" t="s">
        <v>106</v>
      </c>
      <c r="H6" s="287" t="s">
        <v>107</v>
      </c>
      <c r="I6" s="395"/>
    </row>
    <row r="7" spans="1:9" ht="30" customHeight="1" x14ac:dyDescent="0.25">
      <c r="A7" s="185" t="s">
        <v>8</v>
      </c>
      <c r="B7" s="185" t="s">
        <v>9</v>
      </c>
      <c r="C7" s="185" t="s">
        <v>10</v>
      </c>
      <c r="D7" s="189" t="s">
        <v>11</v>
      </c>
      <c r="E7" s="177"/>
      <c r="F7" s="177"/>
      <c r="G7" s="150" t="e">
        <f t="shared" ref="G7:G18" si="0">(F7/E7)*100</f>
        <v>#DIV/0!</v>
      </c>
      <c r="H7" s="150">
        <v>1</v>
      </c>
      <c r="I7" s="190">
        <f>H7*5</f>
        <v>5</v>
      </c>
    </row>
    <row r="8" spans="1:9" ht="25.5" x14ac:dyDescent="0.25">
      <c r="A8" s="185" t="s">
        <v>15</v>
      </c>
      <c r="B8" s="185" t="s">
        <v>12</v>
      </c>
      <c r="C8" s="185" t="s">
        <v>13</v>
      </c>
      <c r="D8" s="189" t="s">
        <v>14</v>
      </c>
      <c r="E8" s="177">
        <v>11700</v>
      </c>
      <c r="F8" s="177">
        <v>11700</v>
      </c>
      <c r="G8" s="150">
        <f t="shared" si="0"/>
        <v>100</v>
      </c>
      <c r="H8" s="150">
        <v>1</v>
      </c>
      <c r="I8" s="190">
        <f>H8*5</f>
        <v>5</v>
      </c>
    </row>
    <row r="9" spans="1:9" ht="25.5" x14ac:dyDescent="0.25">
      <c r="A9" s="185" t="s">
        <v>16</v>
      </c>
      <c r="B9" s="185" t="s">
        <v>22</v>
      </c>
      <c r="C9" s="185" t="s">
        <v>23</v>
      </c>
      <c r="D9" s="189" t="s">
        <v>24</v>
      </c>
      <c r="E9" s="177"/>
      <c r="F9" s="177"/>
      <c r="G9" s="150" t="e">
        <f t="shared" si="0"/>
        <v>#DIV/0!</v>
      </c>
      <c r="H9" s="150">
        <v>1</v>
      </c>
      <c r="I9" s="190">
        <f t="shared" ref="I9:I18" si="1">H9*5</f>
        <v>5</v>
      </c>
    </row>
    <row r="10" spans="1:9" ht="27" customHeight="1" x14ac:dyDescent="0.25">
      <c r="A10" s="185" t="s">
        <v>17</v>
      </c>
      <c r="B10" s="185" t="s">
        <v>25</v>
      </c>
      <c r="C10" s="185" t="s">
        <v>26</v>
      </c>
      <c r="D10" s="189" t="s">
        <v>27</v>
      </c>
      <c r="E10" s="177"/>
      <c r="F10" s="177"/>
      <c r="G10" s="150" t="e">
        <f t="shared" si="0"/>
        <v>#DIV/0!</v>
      </c>
      <c r="H10" s="150">
        <v>1</v>
      </c>
      <c r="I10" s="190">
        <f t="shared" si="1"/>
        <v>5</v>
      </c>
    </row>
    <row r="11" spans="1:9" ht="43.15" customHeight="1" x14ac:dyDescent="0.25">
      <c r="A11" s="185" t="s">
        <v>18</v>
      </c>
      <c r="B11" s="185" t="s">
        <v>28</v>
      </c>
      <c r="C11" s="185" t="s">
        <v>29</v>
      </c>
      <c r="D11" s="189" t="s">
        <v>30</v>
      </c>
      <c r="E11" s="177"/>
      <c r="F11" s="177"/>
      <c r="G11" s="150" t="e">
        <f t="shared" si="0"/>
        <v>#DIV/0!</v>
      </c>
      <c r="H11" s="150">
        <v>1</v>
      </c>
      <c r="I11" s="190">
        <f t="shared" si="1"/>
        <v>5</v>
      </c>
    </row>
    <row r="12" spans="1:9" ht="38.25" x14ac:dyDescent="0.25">
      <c r="A12" s="185" t="s">
        <v>19</v>
      </c>
      <c r="B12" s="185" t="s">
        <v>31</v>
      </c>
      <c r="C12" s="185" t="s">
        <v>32</v>
      </c>
      <c r="D12" s="189" t="s">
        <v>33</v>
      </c>
      <c r="E12" s="177"/>
      <c r="F12" s="177"/>
      <c r="G12" s="150" t="e">
        <f t="shared" si="0"/>
        <v>#DIV/0!</v>
      </c>
      <c r="H12" s="150">
        <v>1</v>
      </c>
      <c r="I12" s="190">
        <f t="shared" si="1"/>
        <v>5</v>
      </c>
    </row>
    <row r="13" spans="1:9" ht="15.75" x14ac:dyDescent="0.25">
      <c r="A13" s="185" t="s">
        <v>20</v>
      </c>
      <c r="B13" s="185" t="s">
        <v>34</v>
      </c>
      <c r="C13" s="185" t="s">
        <v>35</v>
      </c>
      <c r="D13" s="189" t="s">
        <v>36</v>
      </c>
      <c r="E13" s="177"/>
      <c r="F13" s="177"/>
      <c r="G13" s="150" t="e">
        <f t="shared" si="0"/>
        <v>#DIV/0!</v>
      </c>
      <c r="H13" s="150">
        <v>1</v>
      </c>
      <c r="I13" s="190">
        <f t="shared" si="1"/>
        <v>5</v>
      </c>
    </row>
    <row r="14" spans="1:9" ht="16.149999999999999" customHeight="1" x14ac:dyDescent="0.25">
      <c r="A14" s="185" t="s">
        <v>21</v>
      </c>
      <c r="B14" s="185" t="s">
        <v>40</v>
      </c>
      <c r="C14" s="185" t="s">
        <v>38</v>
      </c>
      <c r="D14" s="189" t="s">
        <v>39</v>
      </c>
      <c r="E14" s="221">
        <v>20267225.98</v>
      </c>
      <c r="F14" s="221">
        <v>20267225.98</v>
      </c>
      <c r="G14" s="150">
        <f t="shared" si="0"/>
        <v>100</v>
      </c>
      <c r="H14" s="150">
        <v>1</v>
      </c>
      <c r="I14" s="190">
        <f>H14*5</f>
        <v>5</v>
      </c>
    </row>
    <row r="15" spans="1:9" ht="15.75" x14ac:dyDescent="0.25">
      <c r="A15" s="191">
        <v>9</v>
      </c>
      <c r="B15" s="185" t="s">
        <v>41</v>
      </c>
      <c r="C15" s="185" t="s">
        <v>42</v>
      </c>
      <c r="D15" s="189" t="s">
        <v>43</v>
      </c>
      <c r="E15" s="177"/>
      <c r="F15" s="177"/>
      <c r="G15" s="150" t="e">
        <f t="shared" si="0"/>
        <v>#DIV/0!</v>
      </c>
      <c r="H15" s="150">
        <v>1</v>
      </c>
      <c r="I15" s="190">
        <f t="shared" si="1"/>
        <v>5</v>
      </c>
    </row>
    <row r="16" spans="1:9" ht="25.5" x14ac:dyDescent="0.25">
      <c r="A16" s="191">
        <v>10</v>
      </c>
      <c r="B16" s="185" t="s">
        <v>44</v>
      </c>
      <c r="C16" s="185" t="s">
        <v>45</v>
      </c>
      <c r="D16" s="189" t="s">
        <v>46</v>
      </c>
      <c r="E16" s="177"/>
      <c r="F16" s="177"/>
      <c r="G16" s="150" t="e">
        <f t="shared" si="0"/>
        <v>#DIV/0!</v>
      </c>
      <c r="H16" s="150">
        <v>1</v>
      </c>
      <c r="I16" s="190">
        <f t="shared" si="1"/>
        <v>5</v>
      </c>
    </row>
    <row r="17" spans="1:9" ht="25.5" x14ac:dyDescent="0.25">
      <c r="A17" s="191">
        <v>11</v>
      </c>
      <c r="B17" s="185" t="s">
        <v>47</v>
      </c>
      <c r="C17" s="185" t="s">
        <v>48</v>
      </c>
      <c r="D17" s="189" t="s">
        <v>49</v>
      </c>
      <c r="E17" s="177"/>
      <c r="F17" s="177"/>
      <c r="G17" s="150" t="e">
        <f t="shared" si="0"/>
        <v>#DIV/0!</v>
      </c>
      <c r="H17" s="150">
        <v>1</v>
      </c>
      <c r="I17" s="190">
        <f t="shared" si="1"/>
        <v>5</v>
      </c>
    </row>
    <row r="18" spans="1:9" ht="28.15" customHeight="1" x14ac:dyDescent="0.25">
      <c r="A18" s="185" t="s">
        <v>37</v>
      </c>
      <c r="B18" s="185" t="s">
        <v>50</v>
      </c>
      <c r="C18" s="185" t="s">
        <v>51</v>
      </c>
      <c r="D18" s="189" t="s">
        <v>52</v>
      </c>
      <c r="E18" s="177"/>
      <c r="F18" s="177"/>
      <c r="G18" s="150" t="e">
        <f t="shared" si="0"/>
        <v>#DIV/0!</v>
      </c>
      <c r="H18" s="150">
        <v>1</v>
      </c>
      <c r="I18" s="190">
        <f t="shared" si="1"/>
        <v>5</v>
      </c>
    </row>
    <row r="19" spans="1:9" ht="15.75" x14ac:dyDescent="0.25">
      <c r="A19" s="397" t="s">
        <v>58</v>
      </c>
      <c r="B19" s="397"/>
      <c r="C19" s="397"/>
      <c r="D19" s="397"/>
      <c r="E19" s="278">
        <f>E7+E8+E9+E10+E11+E12+E13+E14+E15+E16+E17+E18</f>
        <v>20278925.98</v>
      </c>
      <c r="F19" s="279">
        <f>F7+F8+F9+F10+F11+F12+F13+F14+F15+F16+F17+F18</f>
        <v>20278925.98</v>
      </c>
      <c r="G19" s="279"/>
      <c r="H19" s="280">
        <f t="shared" ref="H19:I19" si="2">H7+H8+H9+H10+H11+H12+H13+H14+H15+H16+H17+H18</f>
        <v>12</v>
      </c>
      <c r="I19" s="280">
        <f t="shared" si="2"/>
        <v>60</v>
      </c>
    </row>
    <row r="20" spans="1:9" ht="15.75" x14ac:dyDescent="0.25">
      <c r="A20" s="485" t="s">
        <v>188</v>
      </c>
      <c r="B20" s="486"/>
      <c r="C20" s="486"/>
      <c r="D20" s="487"/>
      <c r="E20" s="278"/>
      <c r="F20" s="279"/>
      <c r="G20" s="284"/>
      <c r="H20" s="190">
        <f>H19/12</f>
        <v>1</v>
      </c>
      <c r="I20" s="190">
        <f>I19/12</f>
        <v>5</v>
      </c>
    </row>
    <row r="21" spans="1:9" ht="21" customHeight="1" x14ac:dyDescent="0.25">
      <c r="A21" s="15" t="s">
        <v>216</v>
      </c>
      <c r="B21" s="15"/>
      <c r="C21" s="15"/>
      <c r="D21" s="15"/>
      <c r="E21" s="15"/>
      <c r="F21" s="17"/>
      <c r="G21" s="17"/>
      <c r="H21" s="17"/>
      <c r="I21" s="17"/>
    </row>
    <row r="22" spans="1:9" ht="16.899999999999999" customHeight="1" x14ac:dyDescent="0.25">
      <c r="A22" s="15"/>
      <c r="B22" s="15"/>
      <c r="C22" s="15"/>
      <c r="D22" s="15"/>
      <c r="E22" s="39"/>
      <c r="F22" s="17"/>
      <c r="G22" s="17"/>
      <c r="H22" s="17"/>
      <c r="I22" s="17"/>
    </row>
    <row r="23" spans="1:9" ht="14.45" customHeight="1" x14ac:dyDescent="0.25">
      <c r="A23" s="396" t="s">
        <v>215</v>
      </c>
      <c r="B23" s="396"/>
      <c r="C23" s="396"/>
      <c r="D23" s="396"/>
      <c r="E23" s="396"/>
      <c r="F23" s="396"/>
      <c r="G23" s="396"/>
      <c r="H23" s="396"/>
      <c r="I23" s="396"/>
    </row>
    <row r="24" spans="1:9" ht="15.6" hidden="1" x14ac:dyDescent="0.3">
      <c r="A24" s="387"/>
      <c r="B24" s="388"/>
      <c r="C24" s="389"/>
      <c r="D24" s="17"/>
      <c r="E24" s="17"/>
      <c r="F24" s="17"/>
      <c r="G24" s="17"/>
      <c r="H24" s="17"/>
      <c r="I24" s="17"/>
    </row>
  </sheetData>
  <mergeCells count="8">
    <mergeCell ref="A24:C24"/>
    <mergeCell ref="A2:I2"/>
    <mergeCell ref="E3:F3"/>
    <mergeCell ref="E4:F4"/>
    <mergeCell ref="I4:I6"/>
    <mergeCell ref="A23:I23"/>
    <mergeCell ref="A19:D19"/>
    <mergeCell ref="A20:D20"/>
  </mergeCells>
  <pageMargins left="0.7" right="0.7" top="0.75" bottom="0.75" header="0.3" footer="0.3"/>
  <pageSetup paperSize="9" scale="8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I22"/>
  <sheetViews>
    <sheetView view="pageBreakPreview" zoomScale="80" zoomScaleNormal="100" zoomScaleSheetLayoutView="80" workbookViewId="0">
      <selection activeCell="I16" sqref="I16"/>
    </sheetView>
  </sheetViews>
  <sheetFormatPr defaultRowHeight="15" x14ac:dyDescent="0.25"/>
  <cols>
    <col min="1" max="1" width="5.140625" customWidth="1"/>
    <col min="2" max="2" width="6.28515625" customWidth="1"/>
    <col min="3" max="3" width="13.28515625" customWidth="1"/>
    <col min="4" max="4" width="30.7109375" customWidth="1"/>
    <col min="5" max="5" width="17.5703125" customWidth="1"/>
    <col min="6" max="6" width="19.42578125" customWidth="1"/>
    <col min="7" max="7" width="19.7109375" customWidth="1"/>
    <col min="8" max="8" width="24.42578125" customWidth="1"/>
    <col min="9" max="9" width="14" customWidth="1"/>
  </cols>
  <sheetData>
    <row r="2" spans="1:9" x14ac:dyDescent="0.25">
      <c r="A2" s="390" t="s">
        <v>206</v>
      </c>
      <c r="B2" s="391"/>
      <c r="C2" s="391"/>
      <c r="D2" s="391"/>
      <c r="E2" s="391"/>
      <c r="F2" s="391"/>
      <c r="G2" s="391"/>
      <c r="H2" s="391"/>
      <c r="I2" s="391"/>
    </row>
    <row r="3" spans="1:9" ht="16.149999999999999" thickBot="1" x14ac:dyDescent="0.35">
      <c r="A3" s="24"/>
      <c r="B3" s="24"/>
      <c r="C3" s="24"/>
      <c r="D3" s="210"/>
      <c r="E3" s="392"/>
      <c r="F3" s="392"/>
      <c r="G3" s="17"/>
      <c r="H3" s="17"/>
      <c r="I3" s="17"/>
    </row>
    <row r="4" spans="1:9" ht="32.25" thickBot="1" x14ac:dyDescent="0.3">
      <c r="A4" s="165" t="s">
        <v>0</v>
      </c>
      <c r="B4" s="212" t="s">
        <v>109</v>
      </c>
      <c r="C4" s="212" t="s">
        <v>1</v>
      </c>
      <c r="D4" s="212" t="s">
        <v>2</v>
      </c>
      <c r="E4" s="425" t="s">
        <v>131</v>
      </c>
      <c r="F4" s="425"/>
      <c r="G4" s="166"/>
      <c r="H4" s="166"/>
      <c r="I4" s="433" t="s">
        <v>57</v>
      </c>
    </row>
    <row r="5" spans="1:9" ht="34.15" customHeight="1" thickBot="1" x14ac:dyDescent="0.3">
      <c r="A5" s="167"/>
      <c r="B5" s="168"/>
      <c r="C5" s="168"/>
      <c r="D5" s="168"/>
      <c r="E5" s="168" t="s">
        <v>132</v>
      </c>
      <c r="F5" s="169" t="s">
        <v>133</v>
      </c>
      <c r="G5" s="170" t="s">
        <v>79</v>
      </c>
      <c r="H5" s="171" t="s">
        <v>72</v>
      </c>
      <c r="I5" s="434"/>
    </row>
    <row r="6" spans="1:9" ht="55.5" customHeight="1" thickBot="1" x14ac:dyDescent="0.3">
      <c r="A6" s="172"/>
      <c r="B6" s="173"/>
      <c r="C6" s="173"/>
      <c r="D6" s="173"/>
      <c r="E6" s="173" t="s">
        <v>135</v>
      </c>
      <c r="F6" s="174" t="s">
        <v>134</v>
      </c>
      <c r="G6" s="175" t="s">
        <v>196</v>
      </c>
      <c r="H6" s="176" t="s">
        <v>190</v>
      </c>
      <c r="I6" s="435"/>
    </row>
    <row r="7" spans="1:9" ht="30" customHeight="1" thickBot="1" x14ac:dyDescent="0.3">
      <c r="A7" s="182" t="s">
        <v>8</v>
      </c>
      <c r="B7" s="183" t="s">
        <v>9</v>
      </c>
      <c r="C7" s="183" t="s">
        <v>10</v>
      </c>
      <c r="D7" s="188" t="s">
        <v>11</v>
      </c>
      <c r="E7" s="220">
        <v>0</v>
      </c>
      <c r="F7" s="223">
        <v>0</v>
      </c>
      <c r="G7" s="179">
        <v>-1</v>
      </c>
      <c r="H7" s="9">
        <v>1</v>
      </c>
      <c r="I7" s="226">
        <v>5</v>
      </c>
    </row>
    <row r="8" spans="1:9" ht="26.25" thickBot="1" x14ac:dyDescent="0.3">
      <c r="A8" s="184" t="s">
        <v>15</v>
      </c>
      <c r="B8" s="185" t="s">
        <v>12</v>
      </c>
      <c r="C8" s="185" t="s">
        <v>13</v>
      </c>
      <c r="D8" s="189" t="s">
        <v>14</v>
      </c>
      <c r="E8" s="221">
        <v>26814543.539999999</v>
      </c>
      <c r="F8" s="224">
        <v>35850456.409999996</v>
      </c>
      <c r="G8" s="179">
        <f>(F8-E8)/E8</f>
        <v>0.33697806030227123</v>
      </c>
      <c r="H8" s="9">
        <v>0</v>
      </c>
      <c r="I8" s="227">
        <f>H8*5</f>
        <v>0</v>
      </c>
    </row>
    <row r="9" spans="1:9" ht="26.25" thickBot="1" x14ac:dyDescent="0.3">
      <c r="A9" s="184" t="s">
        <v>16</v>
      </c>
      <c r="B9" s="185" t="s">
        <v>22</v>
      </c>
      <c r="C9" s="185" t="s">
        <v>23</v>
      </c>
      <c r="D9" s="189" t="s">
        <v>24</v>
      </c>
      <c r="E9" s="221">
        <v>0</v>
      </c>
      <c r="F9" s="224">
        <v>0</v>
      </c>
      <c r="G9" s="179">
        <v>-1</v>
      </c>
      <c r="H9" s="9">
        <v>1</v>
      </c>
      <c r="I9" s="227">
        <f t="shared" ref="I9:I17" si="0">H9*5</f>
        <v>5</v>
      </c>
    </row>
    <row r="10" spans="1:9" ht="29.45" customHeight="1" thickBot="1" x14ac:dyDescent="0.3">
      <c r="A10" s="184" t="s">
        <v>17</v>
      </c>
      <c r="B10" s="185" t="s">
        <v>25</v>
      </c>
      <c r="C10" s="185" t="s">
        <v>26</v>
      </c>
      <c r="D10" s="189" t="s">
        <v>27</v>
      </c>
      <c r="E10" s="221">
        <v>0</v>
      </c>
      <c r="F10" s="224">
        <v>0</v>
      </c>
      <c r="G10" s="179">
        <v>-1</v>
      </c>
      <c r="H10" s="9">
        <v>1</v>
      </c>
      <c r="I10" s="227">
        <f t="shared" si="0"/>
        <v>5</v>
      </c>
    </row>
    <row r="11" spans="1:9" ht="41.45" customHeight="1" thickBot="1" x14ac:dyDescent="0.3">
      <c r="A11" s="184" t="s">
        <v>18</v>
      </c>
      <c r="B11" s="185" t="s">
        <v>28</v>
      </c>
      <c r="C11" s="185" t="s">
        <v>29</v>
      </c>
      <c r="D11" s="189" t="s">
        <v>30</v>
      </c>
      <c r="E11" s="221">
        <v>0</v>
      </c>
      <c r="F11" s="224">
        <v>0</v>
      </c>
      <c r="G11" s="179">
        <v>-1</v>
      </c>
      <c r="H11" s="9">
        <v>1</v>
      </c>
      <c r="I11" s="227">
        <f t="shared" si="0"/>
        <v>5</v>
      </c>
    </row>
    <row r="12" spans="1:9" ht="38.25" customHeight="1" thickBot="1" x14ac:dyDescent="0.3">
      <c r="A12" s="184" t="s">
        <v>19</v>
      </c>
      <c r="B12" s="185" t="s">
        <v>31</v>
      </c>
      <c r="C12" s="185" t="s">
        <v>32</v>
      </c>
      <c r="D12" s="189" t="s">
        <v>33</v>
      </c>
      <c r="E12" s="221">
        <v>0</v>
      </c>
      <c r="F12" s="224">
        <v>0</v>
      </c>
      <c r="G12" s="179">
        <v>-1</v>
      </c>
      <c r="H12" s="9">
        <v>1</v>
      </c>
      <c r="I12" s="227">
        <f t="shared" si="0"/>
        <v>5</v>
      </c>
    </row>
    <row r="13" spans="1:9" ht="22.5" customHeight="1" thickBot="1" x14ac:dyDescent="0.3">
      <c r="A13" s="184" t="s">
        <v>20</v>
      </c>
      <c r="B13" s="185" t="s">
        <v>34</v>
      </c>
      <c r="C13" s="185" t="s">
        <v>35</v>
      </c>
      <c r="D13" s="189" t="s">
        <v>36</v>
      </c>
      <c r="E13" s="221">
        <v>12379.46</v>
      </c>
      <c r="F13" s="224">
        <v>1108.68</v>
      </c>
      <c r="G13" s="179">
        <f t="shared" ref="G13:G18" si="1">(F13-E13)/E13</f>
        <v>-0.9104419740441021</v>
      </c>
      <c r="H13" s="9">
        <v>1</v>
      </c>
      <c r="I13" s="227">
        <f t="shared" si="0"/>
        <v>5</v>
      </c>
    </row>
    <row r="14" spans="1:9" ht="25.5" customHeight="1" thickBot="1" x14ac:dyDescent="0.3">
      <c r="A14" s="184" t="s">
        <v>21</v>
      </c>
      <c r="B14" s="185" t="s">
        <v>40</v>
      </c>
      <c r="C14" s="185" t="s">
        <v>38</v>
      </c>
      <c r="D14" s="189" t="s">
        <v>39</v>
      </c>
      <c r="E14" s="221">
        <v>0</v>
      </c>
      <c r="F14" s="224">
        <v>0</v>
      </c>
      <c r="G14" s="179">
        <v>-1</v>
      </c>
      <c r="H14" s="9">
        <v>1</v>
      </c>
      <c r="I14" s="227">
        <f>H14*5</f>
        <v>5</v>
      </c>
    </row>
    <row r="15" spans="1:9" ht="16.5" thickBot="1" x14ac:dyDescent="0.3">
      <c r="A15" s="186">
        <v>9</v>
      </c>
      <c r="B15" s="185" t="s">
        <v>41</v>
      </c>
      <c r="C15" s="185" t="s">
        <v>42</v>
      </c>
      <c r="D15" s="189" t="s">
        <v>43</v>
      </c>
      <c r="E15" s="221">
        <v>3463.3</v>
      </c>
      <c r="F15" s="224">
        <v>483.7</v>
      </c>
      <c r="G15" s="179">
        <f t="shared" si="1"/>
        <v>-0.8603355181474317</v>
      </c>
      <c r="H15" s="9">
        <v>1</v>
      </c>
      <c r="I15" s="227">
        <f t="shared" si="0"/>
        <v>5</v>
      </c>
    </row>
    <row r="16" spans="1:9" ht="26.25" thickBot="1" x14ac:dyDescent="0.3">
      <c r="A16" s="186">
        <v>10</v>
      </c>
      <c r="B16" s="185" t="s">
        <v>44</v>
      </c>
      <c r="C16" s="185" t="s">
        <v>45</v>
      </c>
      <c r="D16" s="189" t="s">
        <v>46</v>
      </c>
      <c r="E16" s="221">
        <v>368.59</v>
      </c>
      <c r="F16" s="224">
        <v>0</v>
      </c>
      <c r="G16" s="179">
        <f>(F16-E16)/E16</f>
        <v>-1</v>
      </c>
      <c r="H16" s="9">
        <v>1</v>
      </c>
      <c r="I16" s="227">
        <f t="shared" si="0"/>
        <v>5</v>
      </c>
    </row>
    <row r="17" spans="1:9" ht="28.5" customHeight="1" thickBot="1" x14ac:dyDescent="0.3">
      <c r="A17" s="186">
        <v>11</v>
      </c>
      <c r="B17" s="185" t="s">
        <v>47</v>
      </c>
      <c r="C17" s="185" t="s">
        <v>48</v>
      </c>
      <c r="D17" s="189" t="s">
        <v>49</v>
      </c>
      <c r="E17" s="221">
        <v>8332.99</v>
      </c>
      <c r="F17" s="224">
        <v>12002.32</v>
      </c>
      <c r="G17" s="179">
        <f t="shared" si="1"/>
        <v>0.44033774191496688</v>
      </c>
      <c r="H17" s="9">
        <v>0</v>
      </c>
      <c r="I17" s="227">
        <f t="shared" si="0"/>
        <v>0</v>
      </c>
    </row>
    <row r="18" spans="1:9" ht="29.45" customHeight="1" thickBot="1" x14ac:dyDescent="0.3">
      <c r="A18" s="184" t="s">
        <v>37</v>
      </c>
      <c r="B18" s="185" t="s">
        <v>50</v>
      </c>
      <c r="C18" s="185" t="s">
        <v>51</v>
      </c>
      <c r="D18" s="189" t="s">
        <v>52</v>
      </c>
      <c r="E18" s="222">
        <v>234838.17</v>
      </c>
      <c r="F18" s="225">
        <v>199322.52</v>
      </c>
      <c r="G18" s="179">
        <f t="shared" si="1"/>
        <v>-0.15123457144977762</v>
      </c>
      <c r="H18" s="190">
        <f>(-2*G18)</f>
        <v>0.30246914289955523</v>
      </c>
      <c r="I18" s="227">
        <f>H18*5</f>
        <v>1.5123457144977761</v>
      </c>
    </row>
    <row r="19" spans="1:9" ht="16.5" thickBot="1" x14ac:dyDescent="0.3">
      <c r="A19" s="35" t="s">
        <v>37</v>
      </c>
      <c r="B19" s="36"/>
      <c r="C19" s="36"/>
      <c r="D19" s="37" t="s">
        <v>58</v>
      </c>
      <c r="E19" s="337">
        <f>E7+E8+E9+E10+E11+E12+E13+E14+E15+E16+E17+E18</f>
        <v>27073926.050000001</v>
      </c>
      <c r="F19" s="337">
        <f t="shared" ref="F19" si="2">F7+F8+F9+F10+F11+F12+F13+F14+F15+F16+F17+F18</f>
        <v>36063373.630000003</v>
      </c>
      <c r="G19" s="338">
        <f>(G7+G8+G9+G10+G11+G12+G13+G14+G15+G16+G17+G18)/12</f>
        <v>-0.67872468845200606</v>
      </c>
      <c r="H19" s="337">
        <f>(H7+H8+H9+H10+H11+H12+H13+H14+H15+H16+H17+H18)/12</f>
        <v>0.77520576190829626</v>
      </c>
      <c r="I19" s="337">
        <f>(I7+I8+I9+I10+I11+I12+I13+I14+I15+I16+I17+I18)/12</f>
        <v>3.8760288095414812</v>
      </c>
    </row>
    <row r="20" spans="1:9" ht="15.75" x14ac:dyDescent="0.25">
      <c r="A20" s="15"/>
      <c r="B20" s="15"/>
      <c r="C20" s="15"/>
      <c r="D20" s="15"/>
      <c r="E20" s="15"/>
      <c r="F20" s="17"/>
      <c r="G20" s="17"/>
      <c r="H20" s="17"/>
      <c r="I20" s="17"/>
    </row>
    <row r="21" spans="1:9" ht="15.75" x14ac:dyDescent="0.25">
      <c r="A21" s="15"/>
      <c r="B21" s="15"/>
      <c r="C21" s="15"/>
      <c r="D21" s="15"/>
      <c r="E21" s="39"/>
      <c r="F21" s="17"/>
      <c r="G21" s="17"/>
      <c r="H21" s="17"/>
      <c r="I21" s="17"/>
    </row>
    <row r="22" spans="1:9" ht="15.75" x14ac:dyDescent="0.25">
      <c r="A22" s="396" t="s">
        <v>136</v>
      </c>
      <c r="B22" s="396"/>
      <c r="C22" s="396"/>
      <c r="D22" s="396"/>
      <c r="E22" s="396"/>
      <c r="F22" s="396"/>
      <c r="G22" s="396"/>
      <c r="H22" s="396"/>
      <c r="I22" s="396"/>
    </row>
  </sheetData>
  <mergeCells count="5">
    <mergeCell ref="A2:I2"/>
    <mergeCell ref="E3:F3"/>
    <mergeCell ref="E4:F4"/>
    <mergeCell ref="I4:I6"/>
    <mergeCell ref="A22:I22"/>
  </mergeCells>
  <pageMargins left="0.7" right="0.7" top="0.75" bottom="0.75" header="0.3" footer="0.3"/>
  <pageSetup paperSize="9" scale="8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Q33"/>
  <sheetViews>
    <sheetView view="pageBreakPreview" zoomScale="76" zoomScaleNormal="100" zoomScaleSheetLayoutView="76" workbookViewId="0">
      <selection activeCell="I18" sqref="I18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2.42578125" style="17" customWidth="1"/>
    <col min="5" max="5" width="18.85546875" style="17" customWidth="1"/>
    <col min="6" max="6" width="25.28515625" style="17" customWidth="1"/>
    <col min="7" max="7" width="16" style="17" customWidth="1"/>
    <col min="8" max="8" width="19.42578125" style="17" customWidth="1"/>
    <col min="9" max="9" width="12.5703125" style="17" customWidth="1"/>
    <col min="10" max="16384" width="9.140625" style="17"/>
  </cols>
  <sheetData>
    <row r="1" spans="1:173" ht="18.75" customHeight="1" x14ac:dyDescent="0.25">
      <c r="A1" s="461" t="s">
        <v>138</v>
      </c>
      <c r="B1" s="461"/>
      <c r="C1" s="461"/>
      <c r="D1" s="461"/>
      <c r="E1" s="461"/>
      <c r="F1" s="461"/>
      <c r="G1" s="461"/>
      <c r="H1" s="461"/>
      <c r="I1" s="461"/>
    </row>
    <row r="2" spans="1:173" ht="16.5" thickBot="1" x14ac:dyDescent="0.3">
      <c r="D2" s="228" t="s">
        <v>75</v>
      </c>
      <c r="E2" s="462" t="s">
        <v>201</v>
      </c>
      <c r="F2" s="462"/>
    </row>
    <row r="3" spans="1:173" ht="31.5" customHeight="1" thickBot="1" x14ac:dyDescent="0.3">
      <c r="A3" s="71" t="s">
        <v>0</v>
      </c>
      <c r="B3" s="51"/>
      <c r="C3" s="52" t="s">
        <v>1</v>
      </c>
      <c r="D3" s="112" t="s">
        <v>2</v>
      </c>
      <c r="E3" s="465"/>
      <c r="F3" s="442"/>
      <c r="G3" s="107"/>
      <c r="H3" s="443" t="s">
        <v>142</v>
      </c>
      <c r="I3" s="443" t="s">
        <v>57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</row>
    <row r="4" spans="1:173" ht="86.25" customHeight="1" thickBot="1" x14ac:dyDescent="0.3">
      <c r="A4" s="51"/>
      <c r="B4" s="72"/>
      <c r="C4" s="72"/>
      <c r="D4" s="113"/>
      <c r="E4" s="13" t="s">
        <v>197</v>
      </c>
      <c r="F4" s="73" t="s">
        <v>198</v>
      </c>
      <c r="G4" s="108" t="s">
        <v>79</v>
      </c>
      <c r="H4" s="466"/>
      <c r="I4" s="444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</row>
    <row r="5" spans="1:173" ht="36.75" customHeight="1" thickBot="1" x14ac:dyDescent="0.3">
      <c r="A5" s="83"/>
      <c r="B5" s="53"/>
      <c r="C5" s="53"/>
      <c r="D5" s="70"/>
      <c r="E5" s="53" t="s">
        <v>139</v>
      </c>
      <c r="F5" s="70" t="s">
        <v>140</v>
      </c>
      <c r="G5" s="109" t="s">
        <v>141</v>
      </c>
      <c r="H5" s="467"/>
      <c r="I5" s="44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</row>
    <row r="6" spans="1:173" ht="16.5" thickBot="1" x14ac:dyDescent="0.3">
      <c r="A6" s="84" t="s">
        <v>8</v>
      </c>
      <c r="B6" s="56" t="s">
        <v>9</v>
      </c>
      <c r="C6" s="57" t="s">
        <v>10</v>
      </c>
      <c r="D6" s="114" t="s">
        <v>11</v>
      </c>
      <c r="E6" s="10">
        <v>0</v>
      </c>
      <c r="F6" s="329">
        <v>0</v>
      </c>
      <c r="G6" s="330">
        <v>0</v>
      </c>
      <c r="H6" s="331">
        <f>IF(G6&gt;10,0,1-(G6/100))</f>
        <v>1</v>
      </c>
      <c r="I6" s="234">
        <v>5</v>
      </c>
    </row>
    <row r="7" spans="1:173" ht="18.75" customHeight="1" thickBot="1" x14ac:dyDescent="0.3">
      <c r="A7" s="58" t="s">
        <v>15</v>
      </c>
      <c r="B7" s="59" t="s">
        <v>12</v>
      </c>
      <c r="C7" s="60" t="s">
        <v>13</v>
      </c>
      <c r="D7" s="115" t="s">
        <v>14</v>
      </c>
      <c r="E7" s="10">
        <v>0</v>
      </c>
      <c r="F7" s="329">
        <v>0</v>
      </c>
      <c r="G7" s="330">
        <v>0</v>
      </c>
      <c r="H7" s="332">
        <v>1</v>
      </c>
      <c r="I7" s="234">
        <v>5</v>
      </c>
    </row>
    <row r="8" spans="1:173" ht="16.5" thickBot="1" x14ac:dyDescent="0.3">
      <c r="A8" s="58" t="s">
        <v>16</v>
      </c>
      <c r="B8" s="59" t="s">
        <v>22</v>
      </c>
      <c r="C8" s="60" t="s">
        <v>23</v>
      </c>
      <c r="D8" s="115" t="s">
        <v>24</v>
      </c>
      <c r="E8" s="10">
        <v>0</v>
      </c>
      <c r="F8" s="329">
        <v>0</v>
      </c>
      <c r="G8" s="330">
        <v>0</v>
      </c>
      <c r="H8" s="332">
        <f t="shared" ref="H8:H17" si="0">IF(G8&gt;10,0,1-(G8/100))</f>
        <v>1</v>
      </c>
      <c r="I8" s="111">
        <v>5</v>
      </c>
    </row>
    <row r="9" spans="1:173" ht="32.25" thickBot="1" x14ac:dyDescent="0.3">
      <c r="A9" s="58" t="s">
        <v>17</v>
      </c>
      <c r="B9" s="59" t="s">
        <v>25</v>
      </c>
      <c r="C9" s="60" t="s">
        <v>26</v>
      </c>
      <c r="D9" s="115" t="s">
        <v>27</v>
      </c>
      <c r="E9" s="10">
        <v>0</v>
      </c>
      <c r="F9" s="329">
        <v>0</v>
      </c>
      <c r="G9" s="330">
        <v>0</v>
      </c>
      <c r="H9" s="332">
        <f t="shared" si="0"/>
        <v>1</v>
      </c>
      <c r="I9" s="111">
        <v>5</v>
      </c>
    </row>
    <row r="10" spans="1:173" ht="32.25" thickBot="1" x14ac:dyDescent="0.3">
      <c r="A10" s="58" t="s">
        <v>18</v>
      </c>
      <c r="B10" s="59" t="s">
        <v>28</v>
      </c>
      <c r="C10" s="60" t="s">
        <v>29</v>
      </c>
      <c r="D10" s="115" t="s">
        <v>30</v>
      </c>
      <c r="E10" s="10">
        <v>0</v>
      </c>
      <c r="F10" s="329">
        <v>0</v>
      </c>
      <c r="G10" s="330">
        <v>0</v>
      </c>
      <c r="H10" s="332">
        <f t="shared" si="0"/>
        <v>1</v>
      </c>
      <c r="I10" s="111">
        <v>5</v>
      </c>
    </row>
    <row r="11" spans="1:173" ht="19.5" customHeight="1" thickBot="1" x14ac:dyDescent="0.3">
      <c r="A11" s="58" t="s">
        <v>19</v>
      </c>
      <c r="B11" s="59" t="s">
        <v>31</v>
      </c>
      <c r="C11" s="60" t="s">
        <v>32</v>
      </c>
      <c r="D11" s="115" t="s">
        <v>33</v>
      </c>
      <c r="E11" s="10">
        <v>0</v>
      </c>
      <c r="F11" s="329">
        <v>0</v>
      </c>
      <c r="G11" s="330">
        <v>0</v>
      </c>
      <c r="H11" s="332">
        <f t="shared" si="0"/>
        <v>1</v>
      </c>
      <c r="I11" s="111">
        <v>5</v>
      </c>
    </row>
    <row r="12" spans="1:173" ht="16.5" thickBot="1" x14ac:dyDescent="0.3">
      <c r="A12" s="58" t="s">
        <v>20</v>
      </c>
      <c r="B12" s="59" t="s">
        <v>34</v>
      </c>
      <c r="C12" s="60" t="s">
        <v>35</v>
      </c>
      <c r="D12" s="115" t="s">
        <v>36</v>
      </c>
      <c r="E12" s="10">
        <v>0</v>
      </c>
      <c r="F12" s="329">
        <v>0</v>
      </c>
      <c r="G12" s="330">
        <v>0</v>
      </c>
      <c r="H12" s="332">
        <f t="shared" si="0"/>
        <v>1</v>
      </c>
      <c r="I12" s="111">
        <v>5</v>
      </c>
    </row>
    <row r="13" spans="1:173" ht="16.5" thickBot="1" x14ac:dyDescent="0.3">
      <c r="A13" s="58" t="s">
        <v>21</v>
      </c>
      <c r="B13" s="59" t="s">
        <v>40</v>
      </c>
      <c r="C13" s="60" t="s">
        <v>38</v>
      </c>
      <c r="D13" s="115" t="s">
        <v>39</v>
      </c>
      <c r="E13" s="10">
        <v>0</v>
      </c>
      <c r="F13" s="329">
        <v>0</v>
      </c>
      <c r="G13" s="330">
        <v>0</v>
      </c>
      <c r="H13" s="332">
        <v>1</v>
      </c>
      <c r="I13" s="111">
        <v>5</v>
      </c>
    </row>
    <row r="14" spans="1:173" ht="16.5" thickBot="1" x14ac:dyDescent="0.3">
      <c r="A14" s="62">
        <v>9</v>
      </c>
      <c r="B14" s="59" t="s">
        <v>41</v>
      </c>
      <c r="C14" s="60" t="s">
        <v>42</v>
      </c>
      <c r="D14" s="115" t="s">
        <v>43</v>
      </c>
      <c r="E14" s="10">
        <v>0</v>
      </c>
      <c r="F14" s="329">
        <v>0</v>
      </c>
      <c r="G14" s="330">
        <v>0</v>
      </c>
      <c r="H14" s="332">
        <v>1</v>
      </c>
      <c r="I14" s="111">
        <v>5</v>
      </c>
    </row>
    <row r="15" spans="1:173" ht="16.5" thickBot="1" x14ac:dyDescent="0.3">
      <c r="A15" s="62">
        <v>10</v>
      </c>
      <c r="B15" s="59" t="s">
        <v>44</v>
      </c>
      <c r="C15" s="60" t="s">
        <v>45</v>
      </c>
      <c r="D15" s="115" t="s">
        <v>46</v>
      </c>
      <c r="E15" s="10">
        <v>0</v>
      </c>
      <c r="F15" s="329">
        <v>0</v>
      </c>
      <c r="G15" s="330">
        <v>0</v>
      </c>
      <c r="H15" s="332">
        <f t="shared" si="0"/>
        <v>1</v>
      </c>
      <c r="I15" s="111">
        <v>5</v>
      </c>
    </row>
    <row r="16" spans="1:173" ht="16.5" thickBot="1" x14ac:dyDescent="0.3">
      <c r="A16" s="62">
        <v>11</v>
      </c>
      <c r="B16" s="59" t="s">
        <v>47</v>
      </c>
      <c r="C16" s="60" t="s">
        <v>48</v>
      </c>
      <c r="D16" s="115" t="s">
        <v>49</v>
      </c>
      <c r="E16" s="10">
        <v>0</v>
      </c>
      <c r="F16" s="329">
        <v>0</v>
      </c>
      <c r="G16" s="330">
        <v>0</v>
      </c>
      <c r="H16" s="332">
        <f t="shared" si="0"/>
        <v>1</v>
      </c>
      <c r="I16" s="111">
        <v>5</v>
      </c>
    </row>
    <row r="17" spans="1:9" ht="35.25" customHeight="1" x14ac:dyDescent="0.25">
      <c r="A17" s="58" t="s">
        <v>37</v>
      </c>
      <c r="B17" s="59" t="s">
        <v>50</v>
      </c>
      <c r="C17" s="60" t="s">
        <v>51</v>
      </c>
      <c r="D17" s="115" t="s">
        <v>52</v>
      </c>
      <c r="E17" s="10">
        <v>0</v>
      </c>
      <c r="F17" s="329">
        <v>0</v>
      </c>
      <c r="G17" s="330">
        <v>0</v>
      </c>
      <c r="H17" s="332">
        <f t="shared" si="0"/>
        <v>1</v>
      </c>
      <c r="I17" s="111">
        <v>5</v>
      </c>
    </row>
    <row r="18" spans="1:9" s="66" customFormat="1" ht="16.5" thickBot="1" x14ac:dyDescent="0.3">
      <c r="A18" s="63" t="s">
        <v>37</v>
      </c>
      <c r="B18" s="64"/>
      <c r="C18" s="65"/>
      <c r="D18" s="116" t="s">
        <v>58</v>
      </c>
      <c r="E18" s="20">
        <f>E6+E7+E8+E9+E10+E11+E12+E13+E14+E15+E16+E17</f>
        <v>0</v>
      </c>
      <c r="F18" s="21">
        <f>F6+F7+F8+F9+F10+F11+F12+F13+F14+F15+F16+F17</f>
        <v>0</v>
      </c>
      <c r="G18" s="21">
        <f>G6+G7+G8+G9+G10+G11+G12+G13+G14+G15+G16+G17</f>
        <v>0</v>
      </c>
      <c r="H18" s="21">
        <f>(H6+H7+H8+H9+H10+H11+H12+H13+H14+H15+H16+H17)/12</f>
        <v>1</v>
      </c>
      <c r="I18" s="21">
        <f>(I6+I7+I8+I9+I10+I11+I12+I13+I14+I15+I16+I17)/12</f>
        <v>5</v>
      </c>
    </row>
    <row r="19" spans="1:9" x14ac:dyDescent="0.25">
      <c r="H19" s="82"/>
    </row>
    <row r="20" spans="1:9" ht="15.6" x14ac:dyDescent="0.3">
      <c r="G20" s="136"/>
    </row>
    <row r="21" spans="1:9" x14ac:dyDescent="0.25">
      <c r="E21" s="67"/>
    </row>
    <row r="23" spans="1:9" x14ac:dyDescent="0.25">
      <c r="A23" s="396" t="s">
        <v>125</v>
      </c>
      <c r="B23" s="396"/>
      <c r="C23" s="396"/>
      <c r="D23" s="396"/>
      <c r="E23" s="396"/>
      <c r="F23" s="396"/>
    </row>
    <row r="24" spans="1:9" x14ac:dyDescent="0.25">
      <c r="A24" s="446">
        <v>44665</v>
      </c>
      <c r="B24" s="396"/>
      <c r="C24" s="447"/>
    </row>
    <row r="31" spans="1:9" x14ac:dyDescent="0.25">
      <c r="E31" s="68"/>
    </row>
    <row r="33" spans="1:4" x14ac:dyDescent="0.25">
      <c r="A33" s="69"/>
      <c r="B33" s="69"/>
      <c r="D33" s="50"/>
    </row>
  </sheetData>
  <mergeCells count="7">
    <mergeCell ref="A23:F23"/>
    <mergeCell ref="A24:C24"/>
    <mergeCell ref="A1:I1"/>
    <mergeCell ref="E2:F2"/>
    <mergeCell ref="E3:F3"/>
    <mergeCell ref="H3:H5"/>
    <mergeCell ref="I3:I5"/>
  </mergeCells>
  <pageMargins left="0.7" right="0.7" top="0.75" bottom="0.75" header="0.3" footer="0.3"/>
  <pageSetup paperSize="9" scale="7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P30"/>
  <sheetViews>
    <sheetView view="pageBreakPreview" zoomScale="69" zoomScaleNormal="100" zoomScaleSheetLayoutView="69" workbookViewId="0">
      <selection activeCell="H14" sqref="H14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2.42578125" style="17" customWidth="1"/>
    <col min="5" max="5" width="18.85546875" style="17" customWidth="1"/>
    <col min="6" max="6" width="16" style="17" customWidth="1"/>
    <col min="7" max="7" width="19.42578125" style="17" customWidth="1"/>
    <col min="8" max="8" width="12.5703125" style="17" customWidth="1"/>
    <col min="9" max="16384" width="9.140625" style="17"/>
  </cols>
  <sheetData>
    <row r="1" spans="1:172" ht="18.75" customHeight="1" x14ac:dyDescent="0.25">
      <c r="A1" s="461" t="s">
        <v>143</v>
      </c>
      <c r="B1" s="461"/>
      <c r="C1" s="461"/>
      <c r="D1" s="461"/>
      <c r="E1" s="461"/>
      <c r="F1" s="461"/>
      <c r="G1" s="461"/>
      <c r="H1" s="461"/>
    </row>
    <row r="2" spans="1:172" ht="16.5" thickBot="1" x14ac:dyDescent="0.3">
      <c r="D2" s="228" t="s">
        <v>75</v>
      </c>
      <c r="E2" s="229" t="s">
        <v>201</v>
      </c>
    </row>
    <row r="3" spans="1:172" ht="31.5" customHeight="1" thickBot="1" x14ac:dyDescent="0.3">
      <c r="A3" s="71" t="s">
        <v>0</v>
      </c>
      <c r="B3" s="51"/>
      <c r="C3" s="52" t="s">
        <v>1</v>
      </c>
      <c r="D3" s="112" t="s">
        <v>2</v>
      </c>
      <c r="E3" s="230"/>
      <c r="F3" s="107"/>
      <c r="G3" s="443" t="s">
        <v>205</v>
      </c>
      <c r="H3" s="443" t="s">
        <v>57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</row>
    <row r="4" spans="1:172" ht="86.25" customHeight="1" thickBot="1" x14ac:dyDescent="0.3">
      <c r="A4" s="51"/>
      <c r="B4" s="72"/>
      <c r="C4" s="72"/>
      <c r="D4" s="113"/>
      <c r="E4" s="13" t="s">
        <v>144</v>
      </c>
      <c r="F4" s="108" t="s">
        <v>79</v>
      </c>
      <c r="G4" s="466"/>
      <c r="H4" s="444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</row>
    <row r="5" spans="1:172" ht="36.75" customHeight="1" thickBot="1" x14ac:dyDescent="0.3">
      <c r="A5" s="83"/>
      <c r="B5" s="53"/>
      <c r="C5" s="53"/>
      <c r="D5" s="70"/>
      <c r="E5" s="53" t="s">
        <v>145</v>
      </c>
      <c r="F5" s="109" t="s">
        <v>146</v>
      </c>
      <c r="G5" s="467"/>
      <c r="H5" s="44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</row>
    <row r="6" spans="1:172" ht="16.5" thickBot="1" x14ac:dyDescent="0.3">
      <c r="A6" s="84" t="s">
        <v>8</v>
      </c>
      <c r="B6" s="56" t="s">
        <v>9</v>
      </c>
      <c r="C6" s="57" t="s">
        <v>10</v>
      </c>
      <c r="D6" s="114" t="s">
        <v>11</v>
      </c>
      <c r="E6" s="10">
        <v>0</v>
      </c>
      <c r="F6" s="110">
        <f>E6</f>
        <v>0</v>
      </c>
      <c r="G6" s="2">
        <v>1</v>
      </c>
      <c r="H6" s="234">
        <v>5</v>
      </c>
    </row>
    <row r="7" spans="1:172" ht="33.75" customHeight="1" thickBot="1" x14ac:dyDescent="0.3">
      <c r="A7" s="58" t="s">
        <v>15</v>
      </c>
      <c r="B7" s="59" t="s">
        <v>12</v>
      </c>
      <c r="C7" s="60" t="s">
        <v>13</v>
      </c>
      <c r="D7" s="115" t="s">
        <v>14</v>
      </c>
      <c r="E7" s="10">
        <v>0</v>
      </c>
      <c r="F7" s="110">
        <f t="shared" ref="F7:F17" si="0">E7</f>
        <v>0</v>
      </c>
      <c r="G7" s="2">
        <v>1</v>
      </c>
      <c r="H7" s="111">
        <f>G7*5</f>
        <v>5</v>
      </c>
    </row>
    <row r="8" spans="1:172" ht="16.5" thickBot="1" x14ac:dyDescent="0.3">
      <c r="A8" s="58" t="s">
        <v>16</v>
      </c>
      <c r="B8" s="59" t="s">
        <v>22</v>
      </c>
      <c r="C8" s="60" t="s">
        <v>23</v>
      </c>
      <c r="D8" s="115" t="s">
        <v>24</v>
      </c>
      <c r="E8" s="10">
        <v>0</v>
      </c>
      <c r="F8" s="110">
        <f t="shared" si="0"/>
        <v>0</v>
      </c>
      <c r="G8" s="2">
        <v>1</v>
      </c>
      <c r="H8" s="111">
        <v>5</v>
      </c>
    </row>
    <row r="9" spans="1:172" ht="32.25" thickBot="1" x14ac:dyDescent="0.3">
      <c r="A9" s="58" t="s">
        <v>17</v>
      </c>
      <c r="B9" s="59" t="s">
        <v>25</v>
      </c>
      <c r="C9" s="60" t="s">
        <v>26</v>
      </c>
      <c r="D9" s="115" t="s">
        <v>27</v>
      </c>
      <c r="E9" s="10">
        <v>0</v>
      </c>
      <c r="F9" s="110">
        <f t="shared" si="0"/>
        <v>0</v>
      </c>
      <c r="G9" s="2">
        <v>1</v>
      </c>
      <c r="H9" s="111">
        <v>5</v>
      </c>
    </row>
    <row r="10" spans="1:172" ht="32.25" thickBot="1" x14ac:dyDescent="0.3">
      <c r="A10" s="58" t="s">
        <v>18</v>
      </c>
      <c r="B10" s="59" t="s">
        <v>28</v>
      </c>
      <c r="C10" s="60" t="s">
        <v>29</v>
      </c>
      <c r="D10" s="115" t="s">
        <v>30</v>
      </c>
      <c r="E10" s="10">
        <v>0</v>
      </c>
      <c r="F10" s="110">
        <f t="shared" si="0"/>
        <v>0</v>
      </c>
      <c r="G10" s="2">
        <v>1</v>
      </c>
      <c r="H10" s="111">
        <v>5</v>
      </c>
    </row>
    <row r="11" spans="1:172" ht="19.5" customHeight="1" thickBot="1" x14ac:dyDescent="0.3">
      <c r="A11" s="58" t="s">
        <v>19</v>
      </c>
      <c r="B11" s="59" t="s">
        <v>31</v>
      </c>
      <c r="C11" s="60" t="s">
        <v>32</v>
      </c>
      <c r="D11" s="115" t="s">
        <v>33</v>
      </c>
      <c r="E11" s="10">
        <v>0</v>
      </c>
      <c r="F11" s="110">
        <f t="shared" si="0"/>
        <v>0</v>
      </c>
      <c r="G11" s="2">
        <v>1</v>
      </c>
      <c r="H11" s="111">
        <v>5</v>
      </c>
    </row>
    <row r="12" spans="1:172" ht="16.5" thickBot="1" x14ac:dyDescent="0.3">
      <c r="A12" s="58" t="s">
        <v>20</v>
      </c>
      <c r="B12" s="59" t="s">
        <v>34</v>
      </c>
      <c r="C12" s="60" t="s">
        <v>35</v>
      </c>
      <c r="D12" s="115" t="s">
        <v>36</v>
      </c>
      <c r="E12" s="10">
        <v>0</v>
      </c>
      <c r="F12" s="110">
        <f t="shared" si="0"/>
        <v>0</v>
      </c>
      <c r="G12" s="2">
        <v>1</v>
      </c>
      <c r="H12" s="111">
        <v>5</v>
      </c>
    </row>
    <row r="13" spans="1:172" ht="16.5" thickBot="1" x14ac:dyDescent="0.3">
      <c r="A13" s="58" t="s">
        <v>21</v>
      </c>
      <c r="B13" s="59" t="s">
        <v>40</v>
      </c>
      <c r="C13" s="60" t="s">
        <v>38</v>
      </c>
      <c r="D13" s="115" t="s">
        <v>39</v>
      </c>
      <c r="E13" s="10">
        <v>0</v>
      </c>
      <c r="F13" s="110">
        <f t="shared" si="0"/>
        <v>0</v>
      </c>
      <c r="G13" s="2">
        <v>1</v>
      </c>
      <c r="H13" s="111">
        <v>5</v>
      </c>
    </row>
    <row r="14" spans="1:172" ht="16.5" thickBot="1" x14ac:dyDescent="0.3">
      <c r="A14" s="62">
        <v>9</v>
      </c>
      <c r="B14" s="59" t="s">
        <v>41</v>
      </c>
      <c r="C14" s="60" t="s">
        <v>42</v>
      </c>
      <c r="D14" s="115" t="s">
        <v>43</v>
      </c>
      <c r="E14" s="10">
        <v>0</v>
      </c>
      <c r="F14" s="110">
        <f t="shared" si="0"/>
        <v>0</v>
      </c>
      <c r="G14" s="2">
        <f t="shared" ref="G14:G17" si="1">IF(F14&lt;10,(1-(F14/10)),0)</f>
        <v>1</v>
      </c>
      <c r="H14" s="111">
        <v>5</v>
      </c>
    </row>
    <row r="15" spans="1:172" ht="16.5" thickBot="1" x14ac:dyDescent="0.3">
      <c r="A15" s="62">
        <v>10</v>
      </c>
      <c r="B15" s="59" t="s">
        <v>44</v>
      </c>
      <c r="C15" s="60" t="s">
        <v>45</v>
      </c>
      <c r="D15" s="115" t="s">
        <v>46</v>
      </c>
      <c r="E15" s="10">
        <v>0</v>
      </c>
      <c r="F15" s="110">
        <f t="shared" si="0"/>
        <v>0</v>
      </c>
      <c r="G15" s="2">
        <f t="shared" si="1"/>
        <v>1</v>
      </c>
      <c r="H15" s="111">
        <v>5</v>
      </c>
    </row>
    <row r="16" spans="1:172" ht="16.5" thickBot="1" x14ac:dyDescent="0.3">
      <c r="A16" s="62">
        <v>11</v>
      </c>
      <c r="B16" s="59" t="s">
        <v>47</v>
      </c>
      <c r="C16" s="60" t="s">
        <v>48</v>
      </c>
      <c r="D16" s="115" t="s">
        <v>49</v>
      </c>
      <c r="E16" s="10">
        <v>0</v>
      </c>
      <c r="F16" s="110">
        <f t="shared" si="0"/>
        <v>0</v>
      </c>
      <c r="G16" s="2">
        <f t="shared" si="1"/>
        <v>1</v>
      </c>
      <c r="H16" s="111">
        <v>5</v>
      </c>
    </row>
    <row r="17" spans="1:8" ht="35.25" customHeight="1" x14ac:dyDescent="0.25">
      <c r="A17" s="58" t="s">
        <v>37</v>
      </c>
      <c r="B17" s="59" t="s">
        <v>50</v>
      </c>
      <c r="C17" s="60" t="s">
        <v>51</v>
      </c>
      <c r="D17" s="115" t="s">
        <v>52</v>
      </c>
      <c r="E17" s="10">
        <v>0</v>
      </c>
      <c r="F17" s="110">
        <f t="shared" si="0"/>
        <v>0</v>
      </c>
      <c r="G17" s="2">
        <f t="shared" si="1"/>
        <v>1</v>
      </c>
      <c r="H17" s="111">
        <v>5</v>
      </c>
    </row>
    <row r="18" spans="1:8" s="66" customFormat="1" ht="16.5" thickBot="1" x14ac:dyDescent="0.3">
      <c r="A18" s="63" t="s">
        <v>37</v>
      </c>
      <c r="B18" s="64"/>
      <c r="C18" s="65"/>
      <c r="D18" s="116" t="s">
        <v>58</v>
      </c>
      <c r="E18" s="20">
        <f>E6+E7+E8+E9+E10+E11+E12+E13+E14+E15+E16+E17</f>
        <v>0</v>
      </c>
      <c r="F18" s="20">
        <f t="shared" ref="F18" si="2">F6+F7+F8+F9+F10+F11+F12+F13+F14+F15+F16+F17</f>
        <v>0</v>
      </c>
      <c r="G18" s="181">
        <f>(G6+G7+G8+G9+G10+G11+G12+G13+G14+G15+G16+G17)/12</f>
        <v>1</v>
      </c>
      <c r="H18" s="181">
        <f>(H6+H7+H8+H9+H10+H11+H12+H13+H14+H15+H16+H17)/12</f>
        <v>5</v>
      </c>
    </row>
    <row r="20" spans="1:8" x14ac:dyDescent="0.25">
      <c r="A20" s="396" t="s">
        <v>125</v>
      </c>
      <c r="B20" s="396"/>
      <c r="C20" s="396"/>
      <c r="D20" s="396"/>
      <c r="E20" s="396"/>
    </row>
    <row r="21" spans="1:8" ht="15.6" x14ac:dyDescent="0.3">
      <c r="A21" s="446">
        <v>44665</v>
      </c>
      <c r="B21" s="396"/>
      <c r="C21" s="447"/>
    </row>
    <row r="28" spans="1:8" x14ac:dyDescent="0.25">
      <c r="E28" s="68"/>
    </row>
    <row r="30" spans="1:8" x14ac:dyDescent="0.25">
      <c r="A30" s="69"/>
      <c r="B30" s="69"/>
      <c r="D30" s="50"/>
    </row>
  </sheetData>
  <mergeCells count="5">
    <mergeCell ref="A21:C21"/>
    <mergeCell ref="A1:H1"/>
    <mergeCell ref="G3:G5"/>
    <mergeCell ref="H3:H5"/>
    <mergeCell ref="A20:E20"/>
  </mergeCells>
  <pageMargins left="0.7" right="0.7" top="0.75" bottom="0.75" header="0.3" footer="0.3"/>
  <pageSetup paperSize="9" scale="88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3"/>
  <sheetViews>
    <sheetView view="pageBreakPreview" zoomScale="83" zoomScaleNormal="110" zoomScaleSheetLayoutView="83" workbookViewId="0">
      <selection activeCell="I14" sqref="I14"/>
    </sheetView>
  </sheetViews>
  <sheetFormatPr defaultColWidth="9.140625" defaultRowHeight="15.75" x14ac:dyDescent="0.25"/>
  <cols>
    <col min="1" max="1" width="3.85546875" style="24" customWidth="1"/>
    <col min="2" max="2" width="5.28515625" style="24" customWidth="1"/>
    <col min="3" max="3" width="14" style="24" customWidth="1"/>
    <col min="4" max="4" width="62.42578125" style="24" customWidth="1"/>
    <col min="5" max="5" width="17.5703125" style="24" customWidth="1"/>
    <col min="6" max="6" width="23.140625" style="24" customWidth="1"/>
    <col min="7" max="7" width="14.7109375" style="17" customWidth="1"/>
    <col min="8" max="8" width="17.5703125" style="17" customWidth="1"/>
    <col min="9" max="9" width="12.140625" style="17" customWidth="1"/>
    <col min="10" max="16384" width="9.140625" style="24"/>
  </cols>
  <sheetData>
    <row r="1" spans="1:9" ht="35.25" customHeight="1" x14ac:dyDescent="0.25">
      <c r="A1" s="473" t="s">
        <v>85</v>
      </c>
      <c r="B1" s="474"/>
      <c r="C1" s="474"/>
      <c r="D1" s="474"/>
      <c r="E1" s="474"/>
      <c r="F1" s="474"/>
      <c r="G1" s="474"/>
      <c r="H1" s="474"/>
      <c r="I1" s="474"/>
    </row>
    <row r="2" spans="1:9" ht="16.5" thickBot="1" x14ac:dyDescent="0.3">
      <c r="D2" s="137" t="s">
        <v>75</v>
      </c>
      <c r="E2" s="38" t="s">
        <v>201</v>
      </c>
      <c r="F2" s="75"/>
    </row>
    <row r="3" spans="1:9" ht="51.75" customHeight="1" x14ac:dyDescent="0.25">
      <c r="A3" s="77" t="s">
        <v>0</v>
      </c>
      <c r="B3" s="78"/>
      <c r="C3" s="78" t="s">
        <v>1</v>
      </c>
      <c r="D3" s="78" t="s">
        <v>2</v>
      </c>
      <c r="E3" s="468" t="s">
        <v>66</v>
      </c>
      <c r="F3" s="488"/>
      <c r="G3" s="469"/>
      <c r="H3" s="79" t="s">
        <v>59</v>
      </c>
      <c r="I3" s="470" t="s">
        <v>57</v>
      </c>
    </row>
    <row r="4" spans="1:9" ht="50.25" customHeight="1" x14ac:dyDescent="0.25">
      <c r="A4" s="80"/>
      <c r="B4" s="76"/>
      <c r="C4" s="76"/>
      <c r="D4" s="76"/>
      <c r="E4" s="76" t="s">
        <v>67</v>
      </c>
      <c r="F4" s="76" t="s">
        <v>69</v>
      </c>
      <c r="G4" s="74" t="s">
        <v>79</v>
      </c>
      <c r="H4" s="74" t="s">
        <v>54</v>
      </c>
      <c r="I4" s="471"/>
    </row>
    <row r="5" spans="1:9" ht="51.75" customHeight="1" thickBot="1" x14ac:dyDescent="0.3">
      <c r="A5" s="157"/>
      <c r="B5" s="158"/>
      <c r="C5" s="158"/>
      <c r="D5" s="158"/>
      <c r="E5" s="158" t="s">
        <v>6</v>
      </c>
      <c r="F5" s="158" t="s">
        <v>68</v>
      </c>
      <c r="G5" s="159" t="s">
        <v>65</v>
      </c>
      <c r="H5" s="160" t="s">
        <v>137</v>
      </c>
      <c r="I5" s="472"/>
    </row>
    <row r="6" spans="1:9" x14ac:dyDescent="0.25">
      <c r="A6" s="151" t="s">
        <v>8</v>
      </c>
      <c r="B6" s="152" t="s">
        <v>9</v>
      </c>
      <c r="C6" s="152" t="s">
        <v>10</v>
      </c>
      <c r="D6" s="153" t="s">
        <v>11</v>
      </c>
      <c r="E6" s="324" t="s">
        <v>99</v>
      </c>
      <c r="F6" s="154" t="s">
        <v>99</v>
      </c>
      <c r="G6" s="155" t="s">
        <v>99</v>
      </c>
      <c r="H6" s="155" t="s">
        <v>70</v>
      </c>
      <c r="I6" s="156">
        <v>5</v>
      </c>
    </row>
    <row r="7" spans="1:9" x14ac:dyDescent="0.25">
      <c r="A7" s="31" t="s">
        <v>15</v>
      </c>
      <c r="B7" s="32" t="s">
        <v>12</v>
      </c>
      <c r="C7" s="32" t="s">
        <v>13</v>
      </c>
      <c r="D7" s="33" t="s">
        <v>14</v>
      </c>
      <c r="E7" s="325">
        <v>7</v>
      </c>
      <c r="F7" s="1">
        <v>7</v>
      </c>
      <c r="G7" s="81">
        <f>(F7/E7)*100</f>
        <v>100</v>
      </c>
      <c r="H7" s="150">
        <f>IF(G7&lt;99,0,1)</f>
        <v>1</v>
      </c>
      <c r="I7" s="11">
        <f>H7*5</f>
        <v>5</v>
      </c>
    </row>
    <row r="8" spans="1:9" x14ac:dyDescent="0.25">
      <c r="A8" s="31" t="s">
        <v>16</v>
      </c>
      <c r="B8" s="32" t="s">
        <v>22</v>
      </c>
      <c r="C8" s="32" t="s">
        <v>23</v>
      </c>
      <c r="D8" s="33" t="s">
        <v>24</v>
      </c>
      <c r="E8" s="325" t="s">
        <v>99</v>
      </c>
      <c r="F8" s="1" t="s">
        <v>99</v>
      </c>
      <c r="G8" s="81" t="s">
        <v>99</v>
      </c>
      <c r="H8" s="2" t="s">
        <v>70</v>
      </c>
      <c r="I8" s="11">
        <v>5</v>
      </c>
    </row>
    <row r="9" spans="1:9" ht="18.75" customHeight="1" x14ac:dyDescent="0.25">
      <c r="A9" s="31" t="s">
        <v>17</v>
      </c>
      <c r="B9" s="32" t="s">
        <v>25</v>
      </c>
      <c r="C9" s="32" t="s">
        <v>26</v>
      </c>
      <c r="D9" s="33" t="s">
        <v>27</v>
      </c>
      <c r="E9" s="325" t="s">
        <v>99</v>
      </c>
      <c r="F9" s="1" t="s">
        <v>99</v>
      </c>
      <c r="G9" s="81" t="s">
        <v>99</v>
      </c>
      <c r="H9" s="2" t="s">
        <v>70</v>
      </c>
      <c r="I9" s="11">
        <v>5</v>
      </c>
    </row>
    <row r="10" spans="1:9" ht="31.5" x14ac:dyDescent="0.25">
      <c r="A10" s="31" t="s">
        <v>18</v>
      </c>
      <c r="B10" s="32" t="s">
        <v>28</v>
      </c>
      <c r="C10" s="32" t="s">
        <v>29</v>
      </c>
      <c r="D10" s="33" t="s">
        <v>30</v>
      </c>
      <c r="E10" s="325" t="s">
        <v>99</v>
      </c>
      <c r="F10" s="1" t="s">
        <v>99</v>
      </c>
      <c r="G10" s="81" t="s">
        <v>99</v>
      </c>
      <c r="H10" s="2" t="s">
        <v>70</v>
      </c>
      <c r="I10" s="11">
        <v>5</v>
      </c>
    </row>
    <row r="11" spans="1:9" ht="18" customHeight="1" x14ac:dyDescent="0.25">
      <c r="A11" s="31" t="s">
        <v>19</v>
      </c>
      <c r="B11" s="32" t="s">
        <v>31</v>
      </c>
      <c r="C11" s="32" t="s">
        <v>32</v>
      </c>
      <c r="D11" s="33" t="s">
        <v>33</v>
      </c>
      <c r="E11" s="325" t="s">
        <v>99</v>
      </c>
      <c r="F11" s="1" t="s">
        <v>99</v>
      </c>
      <c r="G11" s="81" t="s">
        <v>99</v>
      </c>
      <c r="H11" s="2" t="s">
        <v>70</v>
      </c>
      <c r="I11" s="11">
        <v>5</v>
      </c>
    </row>
    <row r="12" spans="1:9" x14ac:dyDescent="0.25">
      <c r="A12" s="31" t="s">
        <v>20</v>
      </c>
      <c r="B12" s="32" t="s">
        <v>34</v>
      </c>
      <c r="C12" s="32" t="s">
        <v>35</v>
      </c>
      <c r="D12" s="33" t="s">
        <v>36</v>
      </c>
      <c r="E12" s="325">
        <v>1</v>
      </c>
      <c r="F12" s="1">
        <v>1</v>
      </c>
      <c r="G12" s="81">
        <f>(F12/E12)*100</f>
        <v>100</v>
      </c>
      <c r="H12" s="150">
        <f t="shared" ref="H12" si="0">IF(G12&lt;99,0,1)</f>
        <v>1</v>
      </c>
      <c r="I12" s="11">
        <f>H12*5</f>
        <v>5</v>
      </c>
    </row>
    <row r="13" spans="1:9" x14ac:dyDescent="0.25">
      <c r="A13" s="31" t="s">
        <v>21</v>
      </c>
      <c r="B13" s="32" t="s">
        <v>40</v>
      </c>
      <c r="C13" s="32" t="s">
        <v>38</v>
      </c>
      <c r="D13" s="33" t="s">
        <v>39</v>
      </c>
      <c r="E13" s="325">
        <v>94</v>
      </c>
      <c r="F13" s="1">
        <v>94</v>
      </c>
      <c r="G13" s="81">
        <f t="shared" ref="G13:G16" si="1">(F13/E13)*100</f>
        <v>100</v>
      </c>
      <c r="H13" s="150">
        <f>IF(G13&lt;99,0,1)</f>
        <v>1</v>
      </c>
      <c r="I13" s="11">
        <f>H13*5</f>
        <v>5</v>
      </c>
    </row>
    <row r="14" spans="1:9" x14ac:dyDescent="0.25">
      <c r="A14" s="34">
        <v>9</v>
      </c>
      <c r="B14" s="32" t="s">
        <v>41</v>
      </c>
      <c r="C14" s="32" t="s">
        <v>42</v>
      </c>
      <c r="D14" s="33" t="s">
        <v>43</v>
      </c>
      <c r="E14" s="325">
        <v>7</v>
      </c>
      <c r="F14" s="1">
        <v>7</v>
      </c>
      <c r="G14" s="81">
        <f t="shared" si="1"/>
        <v>100</v>
      </c>
      <c r="H14" s="150">
        <f>IF(G14&lt;99,0,1)</f>
        <v>1</v>
      </c>
      <c r="I14" s="11">
        <f t="shared" ref="I14:I16" si="2">H14*5</f>
        <v>5</v>
      </c>
    </row>
    <row r="15" spans="1:9" x14ac:dyDescent="0.25">
      <c r="A15" s="34">
        <v>10</v>
      </c>
      <c r="B15" s="32" t="s">
        <v>44</v>
      </c>
      <c r="C15" s="32" t="s">
        <v>45</v>
      </c>
      <c r="D15" s="33" t="s">
        <v>46</v>
      </c>
      <c r="E15" s="325">
        <v>2</v>
      </c>
      <c r="F15" s="1">
        <v>2</v>
      </c>
      <c r="G15" s="81">
        <f t="shared" si="1"/>
        <v>100</v>
      </c>
      <c r="H15" s="150">
        <f>IF(G15&lt;99,0,1)</f>
        <v>1</v>
      </c>
      <c r="I15" s="11">
        <f t="shared" si="2"/>
        <v>5</v>
      </c>
    </row>
    <row r="16" spans="1:9" x14ac:dyDescent="0.25">
      <c r="A16" s="34">
        <v>11</v>
      </c>
      <c r="B16" s="32" t="s">
        <v>47</v>
      </c>
      <c r="C16" s="32" t="s">
        <v>48</v>
      </c>
      <c r="D16" s="33" t="s">
        <v>49</v>
      </c>
      <c r="E16" s="325">
        <v>2</v>
      </c>
      <c r="F16" s="1">
        <v>2</v>
      </c>
      <c r="G16" s="81">
        <f t="shared" si="1"/>
        <v>100</v>
      </c>
      <c r="H16" s="150">
        <f>IF(G16&lt;99,0,1)</f>
        <v>1</v>
      </c>
      <c r="I16" s="11">
        <f t="shared" si="2"/>
        <v>5</v>
      </c>
    </row>
    <row r="17" spans="1:9" ht="18" customHeight="1" x14ac:dyDescent="0.25">
      <c r="A17" s="31" t="s">
        <v>37</v>
      </c>
      <c r="B17" s="32" t="s">
        <v>50</v>
      </c>
      <c r="C17" s="32" t="s">
        <v>51</v>
      </c>
      <c r="D17" s="33" t="s">
        <v>52</v>
      </c>
      <c r="E17" s="325" t="s">
        <v>99</v>
      </c>
      <c r="F17" s="1" t="s">
        <v>99</v>
      </c>
      <c r="G17" s="81" t="s">
        <v>99</v>
      </c>
      <c r="H17" s="2" t="s">
        <v>70</v>
      </c>
      <c r="I17" s="11">
        <v>5</v>
      </c>
    </row>
    <row r="18" spans="1:9" s="38" customFormat="1" ht="16.5" thickBot="1" x14ac:dyDescent="0.3">
      <c r="A18" s="35"/>
      <c r="B18" s="36"/>
      <c r="C18" s="36"/>
      <c r="D18" s="37" t="s">
        <v>58</v>
      </c>
      <c r="E18" s="232">
        <f>E7+E12+E13+E14+E15+E16</f>
        <v>113</v>
      </c>
      <c r="F18" s="231">
        <f>F7+F12+F13+F14+F15+F16</f>
        <v>113</v>
      </c>
      <c r="G18" s="21">
        <f>SUM(G6:G17)</f>
        <v>600</v>
      </c>
      <c r="H18" s="22"/>
      <c r="I18" s="23">
        <f>SUM(I6:I17)/12</f>
        <v>5</v>
      </c>
    </row>
    <row r="19" spans="1:9" ht="31.9" customHeight="1" x14ac:dyDescent="0.25">
      <c r="A19" s="15"/>
      <c r="B19" s="489" t="s">
        <v>187</v>
      </c>
      <c r="C19" s="489"/>
      <c r="D19" s="489"/>
      <c r="E19" s="489"/>
      <c r="F19" s="489"/>
      <c r="G19" s="489"/>
      <c r="H19" s="489"/>
      <c r="I19" s="489"/>
    </row>
    <row r="20" spans="1:9" x14ac:dyDescent="0.25">
      <c r="A20" s="15"/>
      <c r="B20" s="15"/>
      <c r="C20" s="15"/>
      <c r="D20" s="15"/>
      <c r="E20" s="15"/>
      <c r="F20" s="16"/>
      <c r="G20" s="18"/>
    </row>
    <row r="21" spans="1:9" x14ac:dyDescent="0.25">
      <c r="A21" s="15"/>
      <c r="B21" s="15"/>
      <c r="C21" s="15"/>
      <c r="D21" s="15"/>
      <c r="E21" s="15"/>
      <c r="F21" s="39"/>
    </row>
    <row r="22" spans="1:9" s="17" customFormat="1" x14ac:dyDescent="0.25">
      <c r="A22" s="396" t="s">
        <v>89</v>
      </c>
      <c r="B22" s="396"/>
      <c r="C22" s="396"/>
      <c r="D22" s="396"/>
      <c r="E22" s="396"/>
      <c r="F22" s="396"/>
      <c r="G22" s="396"/>
      <c r="H22" s="396"/>
      <c r="I22" s="396"/>
    </row>
    <row r="23" spans="1:9" s="17" customFormat="1" x14ac:dyDescent="0.25">
      <c r="A23" s="387">
        <v>44287</v>
      </c>
      <c r="B23" s="388"/>
      <c r="C23" s="389"/>
    </row>
  </sheetData>
  <mergeCells count="6">
    <mergeCell ref="E3:G3"/>
    <mergeCell ref="I3:I5"/>
    <mergeCell ref="A1:I1"/>
    <mergeCell ref="A22:I22"/>
    <mergeCell ref="A23:C23"/>
    <mergeCell ref="B19:I19"/>
  </mergeCells>
  <pageMargins left="0.70866141732283472" right="0.70866141732283472" top="0.74803149606299213" bottom="0.74803149606299213" header="0.31496062992125984" footer="0.31496062992125984"/>
  <pageSetup paperSize="9" scale="76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P30"/>
  <sheetViews>
    <sheetView view="pageBreakPreview" zoomScale="60" zoomScaleNormal="100" workbookViewId="0">
      <selection activeCell="H8" sqref="H8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2.42578125" style="17" customWidth="1"/>
    <col min="5" max="5" width="26.7109375" style="17" customWidth="1"/>
    <col min="6" max="6" width="12" style="17" customWidth="1"/>
    <col min="7" max="7" width="19.42578125" style="17" customWidth="1"/>
    <col min="8" max="8" width="12.5703125" style="17" customWidth="1"/>
    <col min="9" max="16384" width="9.140625" style="17"/>
  </cols>
  <sheetData>
    <row r="1" spans="1:172" ht="18.75" customHeight="1" x14ac:dyDescent="0.25">
      <c r="A1" s="461" t="s">
        <v>191</v>
      </c>
      <c r="B1" s="461"/>
      <c r="C1" s="461"/>
      <c r="D1" s="461"/>
      <c r="E1" s="461"/>
      <c r="F1" s="461"/>
      <c r="G1" s="461"/>
      <c r="H1" s="461"/>
    </row>
    <row r="2" spans="1:172" ht="16.5" thickBot="1" x14ac:dyDescent="0.3">
      <c r="D2" s="257" t="s">
        <v>75</v>
      </c>
      <c r="E2" s="258" t="s">
        <v>201</v>
      </c>
    </row>
    <row r="3" spans="1:172" ht="31.5" customHeight="1" thickBot="1" x14ac:dyDescent="0.3">
      <c r="A3" s="71" t="s">
        <v>0</v>
      </c>
      <c r="B3" s="51"/>
      <c r="C3" s="52" t="s">
        <v>1</v>
      </c>
      <c r="D3" s="112" t="s">
        <v>2</v>
      </c>
      <c r="E3" s="259"/>
      <c r="F3" s="107"/>
      <c r="G3" s="443" t="s">
        <v>194</v>
      </c>
      <c r="H3" s="443" t="s">
        <v>57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</row>
    <row r="4" spans="1:172" ht="165" customHeight="1" thickBot="1" x14ac:dyDescent="0.3">
      <c r="A4" s="51"/>
      <c r="B4" s="72"/>
      <c r="C4" s="72"/>
      <c r="D4" s="113"/>
      <c r="E4" s="13" t="s">
        <v>192</v>
      </c>
      <c r="F4" s="108" t="s">
        <v>79</v>
      </c>
      <c r="G4" s="466"/>
      <c r="H4" s="444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</row>
    <row r="5" spans="1:172" ht="36.75" customHeight="1" thickBot="1" x14ac:dyDescent="0.3">
      <c r="A5" s="83"/>
      <c r="B5" s="53"/>
      <c r="C5" s="53"/>
      <c r="D5" s="70"/>
      <c r="E5" s="53" t="s">
        <v>193</v>
      </c>
      <c r="F5" s="109" t="s">
        <v>146</v>
      </c>
      <c r="G5" s="467"/>
      <c r="H5" s="44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</row>
    <row r="6" spans="1:172" ht="16.5" thickBot="1" x14ac:dyDescent="0.3">
      <c r="A6" s="84" t="s">
        <v>8</v>
      </c>
      <c r="B6" s="56" t="s">
        <v>9</v>
      </c>
      <c r="C6" s="57" t="s">
        <v>10</v>
      </c>
      <c r="D6" s="114" t="s">
        <v>11</v>
      </c>
      <c r="E6" s="10">
        <v>0</v>
      </c>
      <c r="F6" s="110">
        <f>E6</f>
        <v>0</v>
      </c>
      <c r="G6" s="105">
        <f>IF(F6&gt;10,0,1-(F6/100))</f>
        <v>1</v>
      </c>
      <c r="H6" s="234">
        <v>5</v>
      </c>
    </row>
    <row r="7" spans="1:172" ht="18.75" customHeight="1" thickBot="1" x14ac:dyDescent="0.3">
      <c r="A7" s="58" t="s">
        <v>15</v>
      </c>
      <c r="B7" s="59" t="s">
        <v>12</v>
      </c>
      <c r="C7" s="60" t="s">
        <v>13</v>
      </c>
      <c r="D7" s="115" t="s">
        <v>14</v>
      </c>
      <c r="E7" s="10">
        <v>0</v>
      </c>
      <c r="F7" s="110">
        <f t="shared" ref="F7:F18" si="0">E7</f>
        <v>0</v>
      </c>
      <c r="G7" s="106">
        <f>IF(F7&gt;10,0,1-(F7/100))</f>
        <v>1</v>
      </c>
      <c r="H7" s="111">
        <f>G7*5</f>
        <v>5</v>
      </c>
    </row>
    <row r="8" spans="1:172" ht="16.5" thickBot="1" x14ac:dyDescent="0.3">
      <c r="A8" s="58" t="s">
        <v>16</v>
      </c>
      <c r="B8" s="59" t="s">
        <v>22</v>
      </c>
      <c r="C8" s="60" t="s">
        <v>23</v>
      </c>
      <c r="D8" s="115" t="s">
        <v>24</v>
      </c>
      <c r="E8" s="10">
        <v>0</v>
      </c>
      <c r="F8" s="110">
        <f t="shared" si="0"/>
        <v>0</v>
      </c>
      <c r="G8" s="106">
        <f t="shared" ref="G8:G17" si="1">IF(F8&gt;10,0,1-(F8/100))</f>
        <v>1</v>
      </c>
      <c r="H8" s="111">
        <v>5</v>
      </c>
    </row>
    <row r="9" spans="1:172" ht="32.25" thickBot="1" x14ac:dyDescent="0.3">
      <c r="A9" s="58" t="s">
        <v>17</v>
      </c>
      <c r="B9" s="59" t="s">
        <v>25</v>
      </c>
      <c r="C9" s="60" t="s">
        <v>26</v>
      </c>
      <c r="D9" s="115" t="s">
        <v>27</v>
      </c>
      <c r="E9" s="10">
        <v>0</v>
      </c>
      <c r="F9" s="110">
        <f t="shared" si="0"/>
        <v>0</v>
      </c>
      <c r="G9" s="106">
        <f t="shared" si="1"/>
        <v>1</v>
      </c>
      <c r="H9" s="111">
        <v>5</v>
      </c>
    </row>
    <row r="10" spans="1:172" ht="32.25" thickBot="1" x14ac:dyDescent="0.3">
      <c r="A10" s="58" t="s">
        <v>18</v>
      </c>
      <c r="B10" s="59" t="s">
        <v>28</v>
      </c>
      <c r="C10" s="60" t="s">
        <v>29</v>
      </c>
      <c r="D10" s="115" t="s">
        <v>30</v>
      </c>
      <c r="E10" s="10">
        <v>0</v>
      </c>
      <c r="F10" s="110">
        <f t="shared" si="0"/>
        <v>0</v>
      </c>
      <c r="G10" s="106">
        <f t="shared" si="1"/>
        <v>1</v>
      </c>
      <c r="H10" s="111">
        <v>5</v>
      </c>
    </row>
    <row r="11" spans="1:172" ht="19.5" customHeight="1" thickBot="1" x14ac:dyDescent="0.3">
      <c r="A11" s="58" t="s">
        <v>19</v>
      </c>
      <c r="B11" s="59" t="s">
        <v>31</v>
      </c>
      <c r="C11" s="60" t="s">
        <v>32</v>
      </c>
      <c r="D11" s="115" t="s">
        <v>33</v>
      </c>
      <c r="E11" s="10">
        <v>0</v>
      </c>
      <c r="F11" s="110">
        <f t="shared" si="0"/>
        <v>0</v>
      </c>
      <c r="G11" s="106">
        <f t="shared" si="1"/>
        <v>1</v>
      </c>
      <c r="H11" s="111">
        <v>5</v>
      </c>
    </row>
    <row r="12" spans="1:172" ht="16.5" thickBot="1" x14ac:dyDescent="0.3">
      <c r="A12" s="58" t="s">
        <v>20</v>
      </c>
      <c r="B12" s="59" t="s">
        <v>34</v>
      </c>
      <c r="C12" s="60" t="s">
        <v>35</v>
      </c>
      <c r="D12" s="115" t="s">
        <v>36</v>
      </c>
      <c r="E12" s="10">
        <v>0</v>
      </c>
      <c r="F12" s="110">
        <f t="shared" si="0"/>
        <v>0</v>
      </c>
      <c r="G12" s="106">
        <f t="shared" si="1"/>
        <v>1</v>
      </c>
      <c r="H12" s="111">
        <v>5</v>
      </c>
    </row>
    <row r="13" spans="1:172" ht="16.5" thickBot="1" x14ac:dyDescent="0.3">
      <c r="A13" s="58" t="s">
        <v>21</v>
      </c>
      <c r="B13" s="59" t="s">
        <v>40</v>
      </c>
      <c r="C13" s="60" t="s">
        <v>38</v>
      </c>
      <c r="D13" s="115" t="s">
        <v>39</v>
      </c>
      <c r="E13" s="10">
        <v>0</v>
      </c>
      <c r="F13" s="110">
        <f t="shared" si="0"/>
        <v>0</v>
      </c>
      <c r="G13" s="106">
        <f t="shared" si="1"/>
        <v>1</v>
      </c>
      <c r="H13" s="111">
        <v>5</v>
      </c>
    </row>
    <row r="14" spans="1:172" ht="16.5" thickBot="1" x14ac:dyDescent="0.3">
      <c r="A14" s="62">
        <v>9</v>
      </c>
      <c r="B14" s="59" t="s">
        <v>41</v>
      </c>
      <c r="C14" s="60" t="s">
        <v>42</v>
      </c>
      <c r="D14" s="115" t="s">
        <v>43</v>
      </c>
      <c r="E14" s="10">
        <v>0</v>
      </c>
      <c r="F14" s="110">
        <f t="shared" si="0"/>
        <v>0</v>
      </c>
      <c r="G14" s="106">
        <f t="shared" si="1"/>
        <v>1</v>
      </c>
      <c r="H14" s="111">
        <v>5</v>
      </c>
    </row>
    <row r="15" spans="1:172" ht="16.5" thickBot="1" x14ac:dyDescent="0.3">
      <c r="A15" s="62">
        <v>10</v>
      </c>
      <c r="B15" s="59" t="s">
        <v>44</v>
      </c>
      <c r="C15" s="60" t="s">
        <v>45</v>
      </c>
      <c r="D15" s="115" t="s">
        <v>46</v>
      </c>
      <c r="E15" s="10">
        <v>0</v>
      </c>
      <c r="F15" s="110">
        <f t="shared" si="0"/>
        <v>0</v>
      </c>
      <c r="G15" s="106">
        <f t="shared" si="1"/>
        <v>1</v>
      </c>
      <c r="H15" s="111">
        <v>5</v>
      </c>
    </row>
    <row r="16" spans="1:172" ht="16.5" thickBot="1" x14ac:dyDescent="0.3">
      <c r="A16" s="62">
        <v>11</v>
      </c>
      <c r="B16" s="59" t="s">
        <v>47</v>
      </c>
      <c r="C16" s="60" t="s">
        <v>48</v>
      </c>
      <c r="D16" s="115" t="s">
        <v>49</v>
      </c>
      <c r="E16" s="10">
        <v>0</v>
      </c>
      <c r="F16" s="110">
        <f t="shared" si="0"/>
        <v>0</v>
      </c>
      <c r="G16" s="106">
        <f t="shared" si="1"/>
        <v>1</v>
      </c>
      <c r="H16" s="111">
        <v>5</v>
      </c>
    </row>
    <row r="17" spans="1:8" ht="35.25" customHeight="1" thickBot="1" x14ac:dyDescent="0.3">
      <c r="A17" s="58" t="s">
        <v>37</v>
      </c>
      <c r="B17" s="59" t="s">
        <v>50</v>
      </c>
      <c r="C17" s="60" t="s">
        <v>51</v>
      </c>
      <c r="D17" s="115" t="s">
        <v>52</v>
      </c>
      <c r="E17" s="10">
        <v>0</v>
      </c>
      <c r="F17" s="110">
        <f t="shared" si="0"/>
        <v>0</v>
      </c>
      <c r="G17" s="106">
        <f t="shared" si="1"/>
        <v>1</v>
      </c>
      <c r="H17" s="111">
        <v>5</v>
      </c>
    </row>
    <row r="18" spans="1:8" s="66" customFormat="1" ht="16.5" thickBot="1" x14ac:dyDescent="0.3">
      <c r="A18" s="63" t="s">
        <v>37</v>
      </c>
      <c r="B18" s="64"/>
      <c r="C18" s="65"/>
      <c r="D18" s="116" t="s">
        <v>58</v>
      </c>
      <c r="E18" s="20">
        <f>E6+E7+E8+E9+E10+E11+E12+E13+E14+E15+E16+E17</f>
        <v>0</v>
      </c>
      <c r="F18" s="110">
        <f t="shared" si="0"/>
        <v>0</v>
      </c>
      <c r="G18" s="235">
        <v>1</v>
      </c>
      <c r="H18" s="236">
        <v>5</v>
      </c>
    </row>
    <row r="19" spans="1:8" ht="15.6" x14ac:dyDescent="0.3">
      <c r="G19" s="82"/>
    </row>
    <row r="20" spans="1:8" x14ac:dyDescent="0.25">
      <c r="A20" s="396" t="s">
        <v>125</v>
      </c>
      <c r="B20" s="396"/>
      <c r="C20" s="396"/>
      <c r="D20" s="396"/>
      <c r="E20" s="396"/>
    </row>
    <row r="21" spans="1:8" ht="15.6" x14ac:dyDescent="0.3">
      <c r="A21" s="446">
        <v>44665</v>
      </c>
      <c r="B21" s="396"/>
      <c r="C21" s="447"/>
    </row>
    <row r="28" spans="1:8" x14ac:dyDescent="0.25">
      <c r="E28" s="68"/>
    </row>
    <row r="30" spans="1:8" x14ac:dyDescent="0.25">
      <c r="A30" s="69"/>
      <c r="B30" s="69"/>
      <c r="D30" s="50"/>
    </row>
  </sheetData>
  <mergeCells count="5">
    <mergeCell ref="A1:H1"/>
    <mergeCell ref="G3:G5"/>
    <mergeCell ref="H3:H5"/>
    <mergeCell ref="A20:E20"/>
    <mergeCell ref="A21:C21"/>
  </mergeCells>
  <pageMargins left="0.7" right="0.7" top="0.75" bottom="0.75" header="0.3" footer="0.3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23"/>
  <sheetViews>
    <sheetView tabSelected="1" view="pageBreakPreview" zoomScale="73" zoomScaleNormal="110" zoomScaleSheetLayoutView="73" workbookViewId="0">
      <selection activeCell="AQ7" sqref="AQ7"/>
    </sheetView>
  </sheetViews>
  <sheetFormatPr defaultColWidth="9.140625" defaultRowHeight="15.75" x14ac:dyDescent="0.25"/>
  <cols>
    <col min="1" max="1" width="3.85546875" style="24" customWidth="1"/>
    <col min="2" max="2" width="5.28515625" style="24" customWidth="1"/>
    <col min="3" max="3" width="14" style="24" customWidth="1"/>
    <col min="4" max="4" width="35.42578125" style="24" customWidth="1"/>
    <col min="5" max="5" width="5.28515625" style="24" customWidth="1"/>
    <col min="6" max="6" width="5" style="24" customWidth="1"/>
    <col min="7" max="7" width="5.28515625" style="17" customWidth="1"/>
    <col min="8" max="8" width="5.5703125" style="17" customWidth="1"/>
    <col min="9" max="9" width="5.7109375" style="17" customWidth="1"/>
    <col min="10" max="10" width="5.28515625" style="17" customWidth="1"/>
    <col min="11" max="11" width="6" style="17" customWidth="1"/>
    <col min="12" max="12" width="5.140625" style="17" customWidth="1"/>
    <col min="13" max="14" width="6.140625" style="17" customWidth="1"/>
    <col min="15" max="15" width="5.140625" style="17" customWidth="1"/>
    <col min="16" max="16" width="5.5703125" style="17" customWidth="1"/>
    <col min="17" max="17" width="6.5703125" style="17" customWidth="1"/>
    <col min="18" max="18" width="5" style="17" customWidth="1"/>
    <col min="19" max="19" width="4.85546875" style="17" customWidth="1"/>
    <col min="20" max="20" width="6.140625" style="17" customWidth="1"/>
    <col min="21" max="21" width="4.5703125" style="17" customWidth="1"/>
    <col min="22" max="22" width="17.5703125" style="17" customWidth="1"/>
    <col min="23" max="23" width="12.140625" style="17" customWidth="1"/>
    <col min="24" max="24" width="6.28515625" style="24" customWidth="1"/>
    <col min="25" max="25" width="6.7109375" style="24" customWidth="1"/>
    <col min="26" max="26" width="6.85546875" style="24" customWidth="1"/>
    <col min="27" max="27" width="6.28515625" style="24" customWidth="1"/>
    <col min="28" max="28" width="7.28515625" style="24" customWidth="1"/>
    <col min="29" max="29" width="6.5703125" style="24" customWidth="1"/>
    <col min="30" max="31" width="6" style="24" customWidth="1"/>
    <col min="32" max="32" width="7.28515625" style="24" customWidth="1"/>
    <col min="33" max="33" width="6.28515625" style="24" customWidth="1"/>
    <col min="34" max="34" width="6.140625" style="24" customWidth="1"/>
    <col min="35" max="35" width="6.28515625" style="24" customWidth="1"/>
    <col min="36" max="36" width="6.7109375" style="24" customWidth="1"/>
    <col min="37" max="37" width="6.5703125" style="24" customWidth="1"/>
    <col min="38" max="38" width="5.42578125" style="24" customWidth="1"/>
    <col min="39" max="39" width="7.140625" style="24" customWidth="1"/>
    <col min="40" max="40" width="6.140625" style="24" customWidth="1"/>
    <col min="41" max="43" width="9.140625" style="24"/>
    <col min="44" max="44" width="10.140625" style="24" bestFit="1" customWidth="1"/>
    <col min="45" max="16384" width="9.140625" style="24"/>
  </cols>
  <sheetData>
    <row r="1" spans="1:48" ht="25.15" customHeight="1" x14ac:dyDescent="0.25">
      <c r="A1" s="473" t="s">
        <v>200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</row>
    <row r="2" spans="1:48" ht="22.15" customHeight="1" thickBot="1" x14ac:dyDescent="0.3">
      <c r="A2" s="507" t="s">
        <v>222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  <c r="W2" s="507"/>
    </row>
    <row r="3" spans="1:48" ht="51.75" customHeight="1" thickBot="1" x14ac:dyDescent="0.3">
      <c r="A3" s="494" t="s">
        <v>0</v>
      </c>
      <c r="B3" s="496" t="s">
        <v>108</v>
      </c>
      <c r="C3" s="496" t="s">
        <v>1</v>
      </c>
      <c r="D3" s="498" t="s">
        <v>166</v>
      </c>
      <c r="E3" s="500" t="s">
        <v>168</v>
      </c>
      <c r="F3" s="500"/>
      <c r="G3" s="500"/>
      <c r="H3" s="500"/>
      <c r="I3" s="500"/>
      <c r="J3" s="500"/>
      <c r="K3" s="500"/>
      <c r="L3" s="500"/>
      <c r="M3" s="500"/>
      <c r="N3" s="500"/>
      <c r="O3" s="500"/>
      <c r="P3" s="500"/>
      <c r="Q3" s="500"/>
      <c r="R3" s="500"/>
      <c r="S3" s="500"/>
      <c r="T3" s="500"/>
      <c r="U3" s="500"/>
      <c r="V3" s="490" t="s">
        <v>167</v>
      </c>
      <c r="W3" s="490" t="s">
        <v>186</v>
      </c>
    </row>
    <row r="4" spans="1:48" ht="25.9" customHeight="1" thickBot="1" x14ac:dyDescent="0.3">
      <c r="A4" s="495"/>
      <c r="B4" s="497"/>
      <c r="C4" s="497"/>
      <c r="D4" s="499"/>
      <c r="E4" s="298" t="s">
        <v>169</v>
      </c>
      <c r="F4" s="299" t="s">
        <v>170</v>
      </c>
      <c r="G4" s="299" t="s">
        <v>171</v>
      </c>
      <c r="H4" s="299" t="s">
        <v>172</v>
      </c>
      <c r="I4" s="299" t="s">
        <v>173</v>
      </c>
      <c r="J4" s="299" t="s">
        <v>174</v>
      </c>
      <c r="K4" s="299" t="s">
        <v>175</v>
      </c>
      <c r="L4" s="299" t="s">
        <v>176</v>
      </c>
      <c r="M4" s="299" t="s">
        <v>177</v>
      </c>
      <c r="N4" s="299" t="s">
        <v>178</v>
      </c>
      <c r="O4" s="299" t="s">
        <v>179</v>
      </c>
      <c r="P4" s="299" t="s">
        <v>180</v>
      </c>
      <c r="Q4" s="299" t="s">
        <v>181</v>
      </c>
      <c r="R4" s="299" t="s">
        <v>182</v>
      </c>
      <c r="S4" s="314" t="s">
        <v>183</v>
      </c>
      <c r="T4" s="299" t="s">
        <v>184</v>
      </c>
      <c r="U4" s="300" t="s">
        <v>185</v>
      </c>
      <c r="V4" s="491"/>
      <c r="W4" s="492"/>
      <c r="X4" s="263" t="s">
        <v>169</v>
      </c>
      <c r="Y4" s="263" t="s">
        <v>170</v>
      </c>
      <c r="Z4" s="263" t="s">
        <v>171</v>
      </c>
      <c r="AA4" s="263" t="s">
        <v>172</v>
      </c>
      <c r="AB4" s="263" t="s">
        <v>173</v>
      </c>
      <c r="AC4" s="263" t="s">
        <v>174</v>
      </c>
      <c r="AD4" s="263" t="s">
        <v>175</v>
      </c>
      <c r="AE4" s="263" t="s">
        <v>176</v>
      </c>
      <c r="AF4" s="263" t="s">
        <v>177</v>
      </c>
      <c r="AG4" s="263" t="s">
        <v>178</v>
      </c>
      <c r="AH4" s="263" t="s">
        <v>179</v>
      </c>
      <c r="AI4" s="263" t="s">
        <v>180</v>
      </c>
      <c r="AJ4" s="263" t="s">
        <v>181</v>
      </c>
      <c r="AK4" s="263" t="s">
        <v>182</v>
      </c>
      <c r="AL4" s="263" t="s">
        <v>183</v>
      </c>
      <c r="AM4" s="263" t="s">
        <v>184</v>
      </c>
      <c r="AN4" s="263" t="s">
        <v>185</v>
      </c>
      <c r="AO4" s="24">
        <v>1</v>
      </c>
      <c r="AQ4" s="24">
        <v>2</v>
      </c>
      <c r="AS4" s="24">
        <v>3</v>
      </c>
      <c r="AU4" s="24">
        <v>4</v>
      </c>
      <c r="AV4" s="24">
        <v>5</v>
      </c>
    </row>
    <row r="5" spans="1:48" ht="32.450000000000003" customHeight="1" x14ac:dyDescent="0.25">
      <c r="A5" s="152" t="s">
        <v>8</v>
      </c>
      <c r="B5" s="152" t="s">
        <v>9</v>
      </c>
      <c r="C5" s="152" t="s">
        <v>10</v>
      </c>
      <c r="D5" s="153" t="s">
        <v>11</v>
      </c>
      <c r="E5" s="238">
        <f>'1.1 Кач. планирования расходов'!I7</f>
        <v>9.4291716138460142</v>
      </c>
      <c r="F5" s="243">
        <f>'1.2. Качество исполнения КП'!AQ7</f>
        <v>3.7965164531821771</v>
      </c>
      <c r="G5" s="244">
        <f>'1.3. Доля неиспользованых БА'!I7</f>
        <v>5</v>
      </c>
      <c r="H5" s="244">
        <f>'1.4 Своевременность принятия БО'!I6</f>
        <v>5</v>
      </c>
      <c r="I5" s="244">
        <f>'1.5 Несоотв. расч-плат док'!I6</f>
        <v>4.8991354466858787</v>
      </c>
      <c r="J5" s="244">
        <f>'1.6 Доля отклоненных ПГЗ'!I6</f>
        <v>5</v>
      </c>
      <c r="K5" s="244">
        <f>'1.7. Эффективность исп. МТ '!I5</f>
        <v>5</v>
      </c>
      <c r="L5" s="244">
        <f>'1.8. Эффект.управл. КЗ'!L6</f>
        <v>5</v>
      </c>
      <c r="M5" s="244">
        <f>'1.9. Налчие просроч.КЗ'!G6</f>
        <v>10</v>
      </c>
      <c r="N5" s="244">
        <f>'1.10 Приостановление операций'!H6</f>
        <v>5</v>
      </c>
      <c r="O5" s="244">
        <f>'2.1. Кач-во пл.пост.налог+ненал'!I5</f>
        <v>5</v>
      </c>
      <c r="P5" s="244">
        <f>'2.2. Качество администр. ост.'!I7</f>
        <v>5</v>
      </c>
      <c r="Q5" s="244">
        <f>'2.3 Кач-во управ. просроч.ДЗ'!I7</f>
        <v>5</v>
      </c>
      <c r="R5" s="244">
        <f>'3.1 Степень достовер.отчет'!I6</f>
        <v>5</v>
      </c>
      <c r="S5" s="244">
        <f>'3.2 Нарушение треб. к бюдж.уч.'!H6</f>
        <v>5</v>
      </c>
      <c r="T5" s="244">
        <f>'4 Наличие на сайте ГМУ'!I6</f>
        <v>5</v>
      </c>
      <c r="U5" s="244">
        <f>'5 Управление активами'!H6</f>
        <v>5</v>
      </c>
      <c r="V5" s="155">
        <f>SUM(E5:U5)</f>
        <v>93.124823513714063</v>
      </c>
      <c r="W5" s="333">
        <v>4</v>
      </c>
      <c r="X5" s="288">
        <f>10-E5</f>
        <v>0.57082838615398579</v>
      </c>
      <c r="Y5" s="288">
        <f>5-F5</f>
        <v>1.2034835468178229</v>
      </c>
      <c r="Z5" s="288">
        <f t="shared" ref="Z5:AE5" si="0">5-G5</f>
        <v>0</v>
      </c>
      <c r="AA5" s="288">
        <f t="shared" si="0"/>
        <v>0</v>
      </c>
      <c r="AB5" s="288">
        <f t="shared" si="0"/>
        <v>0.10086455331412125</v>
      </c>
      <c r="AC5" s="288">
        <f t="shared" si="0"/>
        <v>0</v>
      </c>
      <c r="AD5" s="288">
        <f t="shared" si="0"/>
        <v>0</v>
      </c>
      <c r="AE5" s="288">
        <f t="shared" si="0"/>
        <v>0</v>
      </c>
      <c r="AF5" s="288">
        <f>10-M5</f>
        <v>0</v>
      </c>
      <c r="AG5" s="288">
        <f t="shared" ref="AG5:AN5" si="1">5-N5</f>
        <v>0</v>
      </c>
      <c r="AH5" s="288">
        <f t="shared" si="1"/>
        <v>0</v>
      </c>
      <c r="AI5" s="288">
        <f t="shared" si="1"/>
        <v>0</v>
      </c>
      <c r="AJ5" s="288">
        <f t="shared" si="1"/>
        <v>0</v>
      </c>
      <c r="AK5" s="288">
        <f t="shared" si="1"/>
        <v>0</v>
      </c>
      <c r="AL5" s="288">
        <f t="shared" si="1"/>
        <v>0</v>
      </c>
      <c r="AM5" s="288">
        <f t="shared" si="1"/>
        <v>0</v>
      </c>
      <c r="AN5" s="288">
        <f t="shared" si="1"/>
        <v>0</v>
      </c>
      <c r="AO5" s="288">
        <f>SUM(X5:AG5)</f>
        <v>1.8751764862859299</v>
      </c>
      <c r="AP5" s="316">
        <f>AO5/60*100</f>
        <v>3.1252941438098834</v>
      </c>
      <c r="AQ5" s="262">
        <f>SUM(AH5:AJ5)</f>
        <v>0</v>
      </c>
      <c r="AR5" s="24">
        <f>AQ5/15*100</f>
        <v>0</v>
      </c>
      <c r="AS5" s="316">
        <f>AK5+AL5</f>
        <v>0</v>
      </c>
      <c r="AT5" s="24">
        <f>AS5/10*100</f>
        <v>0</v>
      </c>
      <c r="AU5" s="24">
        <f>AM5/5*100</f>
        <v>0</v>
      </c>
      <c r="AV5" s="24">
        <f>AN5/5*100</f>
        <v>0</v>
      </c>
    </row>
    <row r="6" spans="1:48" ht="31.5" x14ac:dyDescent="0.25">
      <c r="A6" s="31" t="s">
        <v>15</v>
      </c>
      <c r="B6" s="32" t="s">
        <v>12</v>
      </c>
      <c r="C6" s="32" t="s">
        <v>13</v>
      </c>
      <c r="D6" s="33" t="s">
        <v>14</v>
      </c>
      <c r="E6" s="200">
        <f>'1.1 Кач. планирования расходов'!I8</f>
        <v>9.8382443410536045</v>
      </c>
      <c r="F6" s="242">
        <f>'1.2. Качество исполнения КП'!AQ8</f>
        <v>3.6701261003627454</v>
      </c>
      <c r="G6" s="190">
        <f>'1.3. Доля неиспользованых БА'!I8</f>
        <v>2.942646330368329</v>
      </c>
      <c r="H6" s="190">
        <f>'1.4 Своевременность принятия БО'!I7</f>
        <v>5</v>
      </c>
      <c r="I6" s="190">
        <f>'1.5 Несоотв. расч-плат док'!I7</f>
        <v>4.7084253127299487</v>
      </c>
      <c r="J6" s="244">
        <f>'1.6 Доля отклоненных ПГЗ'!I7</f>
        <v>0</v>
      </c>
      <c r="K6" s="244">
        <f>'1.7. Эффективность исп. МТ '!I6</f>
        <v>5</v>
      </c>
      <c r="L6" s="244">
        <f>'1.8. Эффект.управл. КЗ'!L7</f>
        <v>4.9375082944259194</v>
      </c>
      <c r="M6" s="244">
        <f>'1.9. Налчие просроч.КЗ'!G7</f>
        <v>10</v>
      </c>
      <c r="N6" s="244">
        <f>'1.10 Приостановление операций'!H7</f>
        <v>5</v>
      </c>
      <c r="O6" s="244">
        <f>'2.1. Кач-во пл.пост.налог+ненал'!I6</f>
        <v>2.5</v>
      </c>
      <c r="P6" s="244">
        <f>'2.2. Качество администр. ост.'!I8</f>
        <v>5</v>
      </c>
      <c r="Q6" s="244">
        <f>'2.3 Кач-во управ. просроч.ДЗ'!I8</f>
        <v>0</v>
      </c>
      <c r="R6" s="244">
        <f>'3.1 Степень достовер.отчет'!I7</f>
        <v>5</v>
      </c>
      <c r="S6" s="244">
        <f>'3.2 Нарушение треб. к бюдж.уч.'!H7</f>
        <v>5</v>
      </c>
      <c r="T6" s="244">
        <f>'4 Наличие на сайте ГМУ'!I7</f>
        <v>5</v>
      </c>
      <c r="U6" s="244">
        <f>'5 Управление активами'!H7</f>
        <v>5</v>
      </c>
      <c r="V6" s="155">
        <f>SUM(E6:U6)</f>
        <v>78.596950378940548</v>
      </c>
      <c r="W6" s="334">
        <v>11</v>
      </c>
      <c r="X6" s="288">
        <f>10-E6</f>
        <v>0.16175565894639554</v>
      </c>
      <c r="Y6" s="288">
        <f t="shared" ref="Y6:Y16" si="2">5-F6</f>
        <v>1.3298738996372546</v>
      </c>
      <c r="Z6" s="382">
        <f t="shared" ref="Z6:Z16" si="3">5-G6</f>
        <v>2.057353669631671</v>
      </c>
      <c r="AA6" s="288">
        <f t="shared" ref="AA6:AA16" si="4">5-H6</f>
        <v>0</v>
      </c>
      <c r="AB6" s="288">
        <f t="shared" ref="AB6:AB16" si="5">5-I6</f>
        <v>0.29157468727005131</v>
      </c>
      <c r="AC6" s="288">
        <f t="shared" ref="AC6:AC16" si="6">5-J6</f>
        <v>5</v>
      </c>
      <c r="AD6" s="288">
        <f t="shared" ref="AD6:AD16" si="7">5-K6</f>
        <v>0</v>
      </c>
      <c r="AE6" s="288">
        <f t="shared" ref="AE6:AE16" si="8">5-L6</f>
        <v>6.2491705574080569E-2</v>
      </c>
      <c r="AF6" s="288">
        <f t="shared" ref="AF6:AF16" si="9">10-M6</f>
        <v>0</v>
      </c>
      <c r="AG6" s="288">
        <f t="shared" ref="AG6:AG16" si="10">5-N6</f>
        <v>0</v>
      </c>
      <c r="AH6" s="288">
        <f t="shared" ref="AH6:AH16" si="11">5-O6</f>
        <v>2.5</v>
      </c>
      <c r="AI6" s="288">
        <f t="shared" ref="AI6:AI16" si="12">5-P6</f>
        <v>0</v>
      </c>
      <c r="AJ6" s="288">
        <f t="shared" ref="AJ6:AJ16" si="13">5-Q6</f>
        <v>5</v>
      </c>
      <c r="AK6" s="288">
        <f t="shared" ref="AK6:AK16" si="14">5-R6</f>
        <v>0</v>
      </c>
      <c r="AL6" s="288">
        <f t="shared" ref="AL6:AL16" si="15">5-S6</f>
        <v>0</v>
      </c>
      <c r="AM6" s="288">
        <f t="shared" ref="AM6:AM16" si="16">5-T6</f>
        <v>0</v>
      </c>
      <c r="AN6" s="288">
        <f t="shared" ref="AN6:AN16" si="17">5-U6</f>
        <v>0</v>
      </c>
      <c r="AO6" s="288">
        <f t="shared" ref="AO6:AO16" si="18">SUM(X6:AG6)</f>
        <v>8.9030496210594539</v>
      </c>
      <c r="AP6" s="316">
        <f t="shared" ref="AP6:AP15" si="19">AO6/60*100</f>
        <v>14.838416035099089</v>
      </c>
      <c r="AQ6" s="262">
        <f t="shared" ref="AQ6:AQ16" si="20">SUM(AH6:AJ6)</f>
        <v>7.5</v>
      </c>
      <c r="AR6" s="315">
        <f>AQ6/15*100</f>
        <v>50</v>
      </c>
      <c r="AS6" s="316">
        <f t="shared" ref="AS6:AS16" si="21">AK6+AL6</f>
        <v>0</v>
      </c>
      <c r="AT6" s="383">
        <f t="shared" ref="AT6:AT16" si="22">AS6/10*100</f>
        <v>0</v>
      </c>
      <c r="AU6" s="24">
        <f t="shared" ref="AU6:AU16" si="23">AM6/5*100</f>
        <v>0</v>
      </c>
      <c r="AV6" s="24">
        <f t="shared" ref="AV6:AV16" si="24">AN6/5*100</f>
        <v>0</v>
      </c>
    </row>
    <row r="7" spans="1:48" s="261" customFormat="1" ht="31.5" x14ac:dyDescent="0.25">
      <c r="A7" s="374" t="s">
        <v>16</v>
      </c>
      <c r="B7" s="375" t="s">
        <v>22</v>
      </c>
      <c r="C7" s="375" t="s">
        <v>23</v>
      </c>
      <c r="D7" s="376" t="s">
        <v>24</v>
      </c>
      <c r="E7" s="377">
        <f>'1.1 Кач. планирования расходов'!I9</f>
        <v>9.9999160869674668</v>
      </c>
      <c r="F7" s="378">
        <f>'1.2. Качество исполнения КП'!AQ9</f>
        <v>4.1404305566637012</v>
      </c>
      <c r="G7" s="378">
        <f>'1.3. Доля неиспользованых БА'!I9</f>
        <v>5</v>
      </c>
      <c r="H7" s="378">
        <f>'1.4 Своевременность принятия БО'!I8</f>
        <v>5</v>
      </c>
      <c r="I7" s="378">
        <f>'1.5 Несоотв. расч-плат док'!I8</f>
        <v>4.8488664987405548</v>
      </c>
      <c r="J7" s="379">
        <f>'1.6 Доля отклоненных ПГЗ'!I8</f>
        <v>5</v>
      </c>
      <c r="K7" s="379">
        <f>'1.7. Эффективность исп. МТ '!I7</f>
        <v>5</v>
      </c>
      <c r="L7" s="379">
        <f>'1.8. Эффект.управл. КЗ'!L8</f>
        <v>5</v>
      </c>
      <c r="M7" s="379">
        <f>'1.9. Налчие просроч.КЗ'!G8</f>
        <v>10</v>
      </c>
      <c r="N7" s="379">
        <f>'1.10 Приостановление операций'!H8</f>
        <v>5</v>
      </c>
      <c r="O7" s="379">
        <f>'2.1. Кач-во пл.пост.налог+ненал'!I7</f>
        <v>5</v>
      </c>
      <c r="P7" s="379">
        <f>'2.2. Качество администр. ост.'!I9</f>
        <v>5</v>
      </c>
      <c r="Q7" s="379">
        <f>'2.3 Кач-во управ. просроч.ДЗ'!I9</f>
        <v>5</v>
      </c>
      <c r="R7" s="379">
        <f>'3.1 Степень достовер.отчет'!I8</f>
        <v>5</v>
      </c>
      <c r="S7" s="379">
        <f>'3.2 Нарушение треб. к бюдж.уч.'!H8</f>
        <v>5</v>
      </c>
      <c r="T7" s="379">
        <f>'4 Наличие на сайте ГМУ'!I8</f>
        <v>5</v>
      </c>
      <c r="U7" s="379">
        <f>'5 Управление активами'!H8</f>
        <v>5</v>
      </c>
      <c r="V7" s="380">
        <f t="shared" ref="V7:V16" si="25">SUM(E7:U7)</f>
        <v>93.989213142371725</v>
      </c>
      <c r="W7" s="381">
        <v>1</v>
      </c>
      <c r="X7" s="289">
        <f t="shared" ref="X7:X16" si="26">10-E7</f>
        <v>8.391303253318938E-5</v>
      </c>
      <c r="Y7" s="289">
        <f t="shared" si="2"/>
        <v>0.85956944333629881</v>
      </c>
      <c r="Z7" s="289">
        <f t="shared" si="3"/>
        <v>0</v>
      </c>
      <c r="AA7" s="289">
        <f t="shared" si="4"/>
        <v>0</v>
      </c>
      <c r="AB7" s="289">
        <f t="shared" si="5"/>
        <v>0.15113350125944525</v>
      </c>
      <c r="AC7" s="289">
        <f t="shared" si="6"/>
        <v>0</v>
      </c>
      <c r="AD7" s="289">
        <f t="shared" si="7"/>
        <v>0</v>
      </c>
      <c r="AE7" s="289">
        <f t="shared" si="8"/>
        <v>0</v>
      </c>
      <c r="AF7" s="289">
        <f t="shared" si="9"/>
        <v>0</v>
      </c>
      <c r="AG7" s="289">
        <f t="shared" si="10"/>
        <v>0</v>
      </c>
      <c r="AH7" s="289">
        <f t="shared" si="11"/>
        <v>0</v>
      </c>
      <c r="AI7" s="289">
        <f t="shared" si="12"/>
        <v>0</v>
      </c>
      <c r="AJ7" s="289">
        <f t="shared" si="13"/>
        <v>0</v>
      </c>
      <c r="AK7" s="289">
        <f t="shared" si="14"/>
        <v>0</v>
      </c>
      <c r="AL7" s="289">
        <f t="shared" si="15"/>
        <v>0</v>
      </c>
      <c r="AM7" s="289">
        <f t="shared" si="16"/>
        <v>0</v>
      </c>
      <c r="AN7" s="289">
        <f t="shared" si="17"/>
        <v>0</v>
      </c>
      <c r="AO7" s="288">
        <f t="shared" si="18"/>
        <v>1.0107868576282772</v>
      </c>
      <c r="AP7" s="316">
        <f t="shared" si="19"/>
        <v>1.6846447627137953</v>
      </c>
      <c r="AQ7" s="262">
        <f t="shared" si="20"/>
        <v>0</v>
      </c>
      <c r="AR7" s="386">
        <f t="shared" ref="AR7:AR15" si="27">AQ7/15*100</f>
        <v>0</v>
      </c>
      <c r="AS7" s="316">
        <f t="shared" si="21"/>
        <v>0</v>
      </c>
      <c r="AT7" s="24">
        <f t="shared" si="22"/>
        <v>0</v>
      </c>
      <c r="AU7" s="24">
        <f t="shared" si="23"/>
        <v>0</v>
      </c>
      <c r="AV7" s="24">
        <f t="shared" si="24"/>
        <v>0</v>
      </c>
    </row>
    <row r="8" spans="1:48" ht="33.6" customHeight="1" x14ac:dyDescent="0.25">
      <c r="A8" s="59" t="s">
        <v>17</v>
      </c>
      <c r="B8" s="60" t="s">
        <v>25</v>
      </c>
      <c r="C8" s="60" t="s">
        <v>26</v>
      </c>
      <c r="D8" s="61" t="s">
        <v>27</v>
      </c>
      <c r="E8" s="369">
        <f>'1.1 Кач. планирования расходов'!I10</f>
        <v>9.1554991057310975</v>
      </c>
      <c r="F8" s="190">
        <f>'1.2. Качество исполнения КП'!AQ10</f>
        <v>3.8377553007408411</v>
      </c>
      <c r="G8" s="190">
        <f>'1.3. Доля неиспользованых БА'!I10</f>
        <v>5</v>
      </c>
      <c r="H8" s="190">
        <f>'1.4 Своевременность принятия БО'!I9</f>
        <v>5</v>
      </c>
      <c r="I8" s="190">
        <f>'1.5 Несоотв. расч-плат док'!I9</f>
        <v>4.758064516129032</v>
      </c>
      <c r="J8" s="244">
        <f>'1.6 Доля отклоненных ПГЗ'!I9</f>
        <v>5</v>
      </c>
      <c r="K8" s="244">
        <f>'1.7. Эффективность исп. МТ '!I8</f>
        <v>5</v>
      </c>
      <c r="L8" s="244">
        <f>'1.8. Эффект.управл. КЗ'!L9</f>
        <v>5</v>
      </c>
      <c r="M8" s="244">
        <f>'1.9. Налчие просроч.КЗ'!G9</f>
        <v>10</v>
      </c>
      <c r="N8" s="244">
        <f>'1.10 Приостановление операций'!H9</f>
        <v>5</v>
      </c>
      <c r="O8" s="244">
        <f>'2.1. Кач-во пл.пост.налог+ненал'!I8</f>
        <v>5</v>
      </c>
      <c r="P8" s="244">
        <f>'2.2. Качество администр. ост.'!I10</f>
        <v>5</v>
      </c>
      <c r="Q8" s="244">
        <f>'2.3 Кач-во управ. просроч.ДЗ'!I10</f>
        <v>5</v>
      </c>
      <c r="R8" s="244">
        <f>'3.1 Степень достовер.отчет'!I9</f>
        <v>5</v>
      </c>
      <c r="S8" s="244">
        <f>'3.2 Нарушение треб. к бюдж.уч.'!H9</f>
        <v>5</v>
      </c>
      <c r="T8" s="244">
        <f>'4 Наличие на сайте ГМУ'!I9</f>
        <v>5</v>
      </c>
      <c r="U8" s="244">
        <f>'5 Управление активами'!H9</f>
        <v>5</v>
      </c>
      <c r="V8" s="155">
        <f>SUM(E8:U8)</f>
        <v>92.751318922600973</v>
      </c>
      <c r="W8" s="334">
        <v>5</v>
      </c>
      <c r="X8" s="288">
        <f t="shared" si="26"/>
        <v>0.84450089426890251</v>
      </c>
      <c r="Y8" s="288">
        <f t="shared" si="2"/>
        <v>1.1622446992591589</v>
      </c>
      <c r="Z8" s="288">
        <f t="shared" si="3"/>
        <v>0</v>
      </c>
      <c r="AA8" s="288">
        <f t="shared" si="4"/>
        <v>0</v>
      </c>
      <c r="AB8" s="288">
        <f t="shared" si="5"/>
        <v>0.24193548387096797</v>
      </c>
      <c r="AC8" s="288">
        <f t="shared" si="6"/>
        <v>0</v>
      </c>
      <c r="AD8" s="288">
        <f t="shared" si="7"/>
        <v>0</v>
      </c>
      <c r="AE8" s="288">
        <f t="shared" si="8"/>
        <v>0</v>
      </c>
      <c r="AF8" s="288">
        <f t="shared" si="9"/>
        <v>0</v>
      </c>
      <c r="AG8" s="288">
        <f t="shared" si="10"/>
        <v>0</v>
      </c>
      <c r="AH8" s="288">
        <f t="shared" si="11"/>
        <v>0</v>
      </c>
      <c r="AI8" s="288">
        <f t="shared" si="12"/>
        <v>0</v>
      </c>
      <c r="AJ8" s="288">
        <f t="shared" si="13"/>
        <v>0</v>
      </c>
      <c r="AK8" s="288">
        <f t="shared" si="14"/>
        <v>0</v>
      </c>
      <c r="AL8" s="288">
        <f t="shared" si="15"/>
        <v>0</v>
      </c>
      <c r="AM8" s="288">
        <f t="shared" si="16"/>
        <v>0</v>
      </c>
      <c r="AN8" s="288">
        <f t="shared" si="17"/>
        <v>0</v>
      </c>
      <c r="AO8" s="288">
        <f t="shared" si="18"/>
        <v>2.2486810773990293</v>
      </c>
      <c r="AP8" s="316">
        <f>AO8/60*100</f>
        <v>3.7478017956650489</v>
      </c>
      <c r="AQ8" s="262">
        <f t="shared" si="20"/>
        <v>0</v>
      </c>
      <c r="AR8" s="24">
        <f t="shared" si="27"/>
        <v>0</v>
      </c>
      <c r="AS8" s="316">
        <f t="shared" si="21"/>
        <v>0</v>
      </c>
      <c r="AT8" s="24">
        <f t="shared" si="22"/>
        <v>0</v>
      </c>
      <c r="AU8" s="24">
        <f t="shared" si="23"/>
        <v>0</v>
      </c>
      <c r="AV8" s="24">
        <f t="shared" si="24"/>
        <v>0</v>
      </c>
    </row>
    <row r="9" spans="1:48" ht="62.25" customHeight="1" x14ac:dyDescent="0.25">
      <c r="A9" s="31" t="s">
        <v>18</v>
      </c>
      <c r="B9" s="32" t="s">
        <v>28</v>
      </c>
      <c r="C9" s="32" t="s">
        <v>29</v>
      </c>
      <c r="D9" s="33" t="s">
        <v>30</v>
      </c>
      <c r="E9" s="200">
        <f>'1.1 Кач. планирования расходов'!I11</f>
        <v>9.9954107388710423</v>
      </c>
      <c r="F9" s="242">
        <f>'1.2. Качество исполнения КП'!AQ11</f>
        <v>3.6491378538385617</v>
      </c>
      <c r="G9" s="190">
        <f>'1.3. Доля неиспользованых БА'!I11</f>
        <v>5</v>
      </c>
      <c r="H9" s="190">
        <f>'1.4 Своевременность принятия БО'!I10</f>
        <v>5</v>
      </c>
      <c r="I9" s="190">
        <f>'1.5 Несоотв. расч-плат док'!I10</f>
        <v>4.8611111111111107</v>
      </c>
      <c r="J9" s="244">
        <f>'1.6 Доля отклоненных ПГЗ'!I10</f>
        <v>5</v>
      </c>
      <c r="K9" s="244">
        <f>'1.7. Эффективность исп. МТ '!I9</f>
        <v>5</v>
      </c>
      <c r="L9" s="244">
        <f>'1.8. Эффект.управл. КЗ'!L10</f>
        <v>5</v>
      </c>
      <c r="M9" s="244">
        <f>'1.9. Налчие просроч.КЗ'!G10</f>
        <v>10</v>
      </c>
      <c r="N9" s="244">
        <f>'1.10 Приостановление операций'!H10</f>
        <v>5</v>
      </c>
      <c r="O9" s="244">
        <f>'2.1. Кач-во пл.пост.налог+ненал'!I9</f>
        <v>0</v>
      </c>
      <c r="P9" s="244">
        <f>'2.2. Качество администр. ост.'!I11</f>
        <v>5</v>
      </c>
      <c r="Q9" s="244">
        <f>'2.3 Кач-во управ. просроч.ДЗ'!I11</f>
        <v>5</v>
      </c>
      <c r="R9" s="244">
        <f>'3.1 Степень достовер.отчет'!I10</f>
        <v>5</v>
      </c>
      <c r="S9" s="244">
        <f>'3.2 Нарушение треб. к бюдж.уч.'!H10</f>
        <v>5</v>
      </c>
      <c r="T9" s="244">
        <f>'4 Наличие на сайте ГМУ'!I10</f>
        <v>5</v>
      </c>
      <c r="U9" s="244">
        <f>'5 Управление активами'!H10</f>
        <v>5</v>
      </c>
      <c r="V9" s="155">
        <f t="shared" si="25"/>
        <v>88.505659703820712</v>
      </c>
      <c r="W9" s="334">
        <v>8</v>
      </c>
      <c r="X9" s="288">
        <f t="shared" si="26"/>
        <v>4.5892611289577445E-3</v>
      </c>
      <c r="Y9" s="288">
        <f t="shared" si="2"/>
        <v>1.3508621461614383</v>
      </c>
      <c r="Z9" s="288">
        <f t="shared" si="3"/>
        <v>0</v>
      </c>
      <c r="AA9" s="288">
        <f t="shared" si="4"/>
        <v>0</v>
      </c>
      <c r="AB9" s="288">
        <f t="shared" si="5"/>
        <v>0.13888888888888928</v>
      </c>
      <c r="AC9" s="288">
        <f t="shared" si="6"/>
        <v>0</v>
      </c>
      <c r="AD9" s="288">
        <f t="shared" si="7"/>
        <v>0</v>
      </c>
      <c r="AE9" s="288">
        <f t="shared" si="8"/>
        <v>0</v>
      </c>
      <c r="AF9" s="288">
        <f t="shared" si="9"/>
        <v>0</v>
      </c>
      <c r="AG9" s="288">
        <f t="shared" si="10"/>
        <v>0</v>
      </c>
      <c r="AH9" s="288">
        <f t="shared" si="11"/>
        <v>5</v>
      </c>
      <c r="AI9" s="288">
        <f t="shared" si="12"/>
        <v>0</v>
      </c>
      <c r="AJ9" s="288">
        <f t="shared" si="13"/>
        <v>0</v>
      </c>
      <c r="AK9" s="288">
        <f t="shared" si="14"/>
        <v>0</v>
      </c>
      <c r="AL9" s="288">
        <f t="shared" si="15"/>
        <v>0</v>
      </c>
      <c r="AM9" s="288">
        <f t="shared" si="16"/>
        <v>0</v>
      </c>
      <c r="AN9" s="288">
        <f t="shared" si="17"/>
        <v>0</v>
      </c>
      <c r="AO9" s="288">
        <f t="shared" si="18"/>
        <v>1.4943402961792853</v>
      </c>
      <c r="AP9" s="316">
        <f t="shared" si="19"/>
        <v>2.4905671602988089</v>
      </c>
      <c r="AQ9" s="262">
        <f t="shared" si="20"/>
        <v>5</v>
      </c>
      <c r="AR9" s="315">
        <f t="shared" si="27"/>
        <v>33.333333333333329</v>
      </c>
      <c r="AS9" s="316">
        <f t="shared" si="21"/>
        <v>0</v>
      </c>
      <c r="AT9" s="24">
        <f t="shared" si="22"/>
        <v>0</v>
      </c>
      <c r="AU9" s="24">
        <f t="shared" si="23"/>
        <v>0</v>
      </c>
      <c r="AV9" s="24">
        <f t="shared" si="24"/>
        <v>0</v>
      </c>
    </row>
    <row r="10" spans="1:48" ht="46.9" customHeight="1" x14ac:dyDescent="0.25">
      <c r="A10" s="59" t="s">
        <v>19</v>
      </c>
      <c r="B10" s="60" t="s">
        <v>31</v>
      </c>
      <c r="C10" s="60" t="s">
        <v>32</v>
      </c>
      <c r="D10" s="61" t="s">
        <v>33</v>
      </c>
      <c r="E10" s="369">
        <f>'1.1 Кач. планирования расходов'!I12</f>
        <v>10</v>
      </c>
      <c r="F10" s="190">
        <f>'1.2. Качество исполнения КП'!AQ12</f>
        <v>3.960399254542132</v>
      </c>
      <c r="G10" s="190">
        <f>'1.3. Доля неиспользованых БА'!I12</f>
        <v>5</v>
      </c>
      <c r="H10" s="190">
        <f>'1.4 Своевременность принятия БО'!I11</f>
        <v>5</v>
      </c>
      <c r="I10" s="190">
        <f>'1.5 Несоотв. расч-плат док'!I11</f>
        <v>4.9353448275862064</v>
      </c>
      <c r="J10" s="244">
        <f>'1.6 Доля отклоненных ПГЗ'!I11</f>
        <v>5</v>
      </c>
      <c r="K10" s="244">
        <f>'1.7. Эффективность исп. МТ '!I10</f>
        <v>5</v>
      </c>
      <c r="L10" s="244">
        <f>'1.8. Эффект.управл. КЗ'!L11</f>
        <v>5</v>
      </c>
      <c r="M10" s="244">
        <f>'1.9. Налчие просроч.КЗ'!G11</f>
        <v>10</v>
      </c>
      <c r="N10" s="244">
        <f>'1.10 Приостановление операций'!H11</f>
        <v>5</v>
      </c>
      <c r="O10" s="244">
        <f>'2.1. Кач-во пл.пост.налог+ненал'!I10</f>
        <v>5</v>
      </c>
      <c r="P10" s="244">
        <f>'2.2. Качество администр. ост.'!I12</f>
        <v>5</v>
      </c>
      <c r="Q10" s="244">
        <f>'2.3 Кач-во управ. просроч.ДЗ'!I12</f>
        <v>5</v>
      </c>
      <c r="R10" s="244">
        <f>'3.1 Степень достовер.отчет'!I11</f>
        <v>5</v>
      </c>
      <c r="S10" s="244">
        <f>'3.2 Нарушение треб. к бюдж.уч.'!H11</f>
        <v>5</v>
      </c>
      <c r="T10" s="244">
        <f>'4 Наличие на сайте ГМУ'!I11</f>
        <v>5</v>
      </c>
      <c r="U10" s="244">
        <f>'5 Управление активами'!H11</f>
        <v>5</v>
      </c>
      <c r="V10" s="155">
        <f t="shared" si="25"/>
        <v>93.895744082128346</v>
      </c>
      <c r="W10" s="334">
        <v>2</v>
      </c>
      <c r="X10" s="288">
        <f t="shared" si="26"/>
        <v>0</v>
      </c>
      <c r="Y10" s="288">
        <f t="shared" si="2"/>
        <v>1.039600745457868</v>
      </c>
      <c r="Z10" s="288">
        <f t="shared" si="3"/>
        <v>0</v>
      </c>
      <c r="AA10" s="288">
        <f t="shared" si="4"/>
        <v>0</v>
      </c>
      <c r="AB10" s="288">
        <f t="shared" si="5"/>
        <v>6.4655172413793593E-2</v>
      </c>
      <c r="AC10" s="288">
        <f t="shared" si="6"/>
        <v>0</v>
      </c>
      <c r="AD10" s="288">
        <f t="shared" si="7"/>
        <v>0</v>
      </c>
      <c r="AE10" s="288">
        <f t="shared" si="8"/>
        <v>0</v>
      </c>
      <c r="AF10" s="288">
        <f t="shared" si="9"/>
        <v>0</v>
      </c>
      <c r="AG10" s="288">
        <f t="shared" si="10"/>
        <v>0</v>
      </c>
      <c r="AH10" s="288">
        <f t="shared" si="11"/>
        <v>0</v>
      </c>
      <c r="AI10" s="288">
        <f t="shared" si="12"/>
        <v>0</v>
      </c>
      <c r="AJ10" s="288">
        <f t="shared" si="13"/>
        <v>0</v>
      </c>
      <c r="AK10" s="288">
        <f t="shared" si="14"/>
        <v>0</v>
      </c>
      <c r="AL10" s="288">
        <f t="shared" si="15"/>
        <v>0</v>
      </c>
      <c r="AM10" s="288">
        <f t="shared" si="16"/>
        <v>0</v>
      </c>
      <c r="AN10" s="288">
        <f t="shared" si="17"/>
        <v>0</v>
      </c>
      <c r="AO10" s="288">
        <f t="shared" si="18"/>
        <v>1.1042559178716616</v>
      </c>
      <c r="AP10" s="316">
        <f t="shared" si="19"/>
        <v>1.8404265297861027</v>
      </c>
      <c r="AQ10" s="262">
        <f t="shared" si="20"/>
        <v>0</v>
      </c>
      <c r="AR10" s="24">
        <f t="shared" si="27"/>
        <v>0</v>
      </c>
      <c r="AS10" s="316">
        <f t="shared" si="21"/>
        <v>0</v>
      </c>
      <c r="AT10" s="24">
        <f t="shared" si="22"/>
        <v>0</v>
      </c>
      <c r="AU10" s="24">
        <f t="shared" si="23"/>
        <v>0</v>
      </c>
      <c r="AV10" s="24">
        <f t="shared" si="24"/>
        <v>0</v>
      </c>
    </row>
    <row r="11" spans="1:48" ht="19.5" customHeight="1" x14ac:dyDescent="0.25">
      <c r="A11" s="301" t="s">
        <v>20</v>
      </c>
      <c r="B11" s="302" t="s">
        <v>34</v>
      </c>
      <c r="C11" s="302" t="s">
        <v>35</v>
      </c>
      <c r="D11" s="303" t="s">
        <v>36</v>
      </c>
      <c r="E11" s="304">
        <f>'1.1 Кач. планирования расходов'!I13</f>
        <v>9.3530968318793644</v>
      </c>
      <c r="F11" s="305">
        <f>'1.2. Качество исполнения КП'!AQ13</f>
        <v>2.9153369111916776</v>
      </c>
      <c r="G11" s="305">
        <f>'1.3. Доля неиспользованых БА'!I13</f>
        <v>0</v>
      </c>
      <c r="H11" s="305">
        <f>'1.4 Своевременность принятия БО'!I12</f>
        <v>0</v>
      </c>
      <c r="I11" s="305">
        <f>'1.5 Несоотв. расч-плат док'!I12</f>
        <v>4.9181739879414295</v>
      </c>
      <c r="J11" s="306">
        <f>'1.6 Доля отклоненных ПГЗ'!I12</f>
        <v>0</v>
      </c>
      <c r="K11" s="306">
        <f>'1.7. Эффективность исп. МТ '!I11</f>
        <v>0</v>
      </c>
      <c r="L11" s="306">
        <f>'1.8. Эффект.управл. КЗ'!L12</f>
        <v>4.95</v>
      </c>
      <c r="M11" s="306">
        <f>'1.9. Налчие просроч.КЗ'!G12</f>
        <v>10</v>
      </c>
      <c r="N11" s="306">
        <f>'1.10 Приостановление операций'!H12</f>
        <v>5</v>
      </c>
      <c r="O11" s="306">
        <f>'2.1. Кач-во пл.пост.налог+ненал'!I11</f>
        <v>2.5</v>
      </c>
      <c r="P11" s="306">
        <f>'2.2. Качество администр. ост.'!I13</f>
        <v>5</v>
      </c>
      <c r="Q11" s="306">
        <f>'2.3 Кач-во управ. просроч.ДЗ'!I13</f>
        <v>5</v>
      </c>
      <c r="R11" s="306">
        <f>'3.1 Степень достовер.отчет'!I12</f>
        <v>5</v>
      </c>
      <c r="S11" s="306">
        <f>'3.2 Нарушение треб. к бюдж.уч.'!H12</f>
        <v>5</v>
      </c>
      <c r="T11" s="306">
        <f>'4 Наличие на сайте ГМУ'!I12</f>
        <v>5</v>
      </c>
      <c r="U11" s="306">
        <f>'5 Управление активами'!H12</f>
        <v>5</v>
      </c>
      <c r="V11" s="307">
        <f t="shared" si="25"/>
        <v>69.636607731012475</v>
      </c>
      <c r="W11" s="508">
        <v>12</v>
      </c>
      <c r="X11" s="288">
        <f t="shared" si="26"/>
        <v>0.64690316812063564</v>
      </c>
      <c r="Y11" s="288">
        <f t="shared" si="2"/>
        <v>2.0846630888083224</v>
      </c>
      <c r="Z11" s="288">
        <f>5-G11</f>
        <v>5</v>
      </c>
      <c r="AA11" s="288">
        <f t="shared" si="4"/>
        <v>5</v>
      </c>
      <c r="AB11" s="288">
        <f t="shared" si="5"/>
        <v>8.1826012058570541E-2</v>
      </c>
      <c r="AC11" s="288">
        <f t="shared" si="6"/>
        <v>5</v>
      </c>
      <c r="AD11" s="288">
        <f t="shared" si="7"/>
        <v>5</v>
      </c>
      <c r="AE11" s="288">
        <f t="shared" si="8"/>
        <v>4.9999999999999822E-2</v>
      </c>
      <c r="AF11" s="288">
        <f t="shared" si="9"/>
        <v>0</v>
      </c>
      <c r="AG11" s="288">
        <f t="shared" si="10"/>
        <v>0</v>
      </c>
      <c r="AH11" s="288">
        <f t="shared" si="11"/>
        <v>2.5</v>
      </c>
      <c r="AI11" s="288">
        <f t="shared" si="12"/>
        <v>0</v>
      </c>
      <c r="AJ11" s="288">
        <f t="shared" si="13"/>
        <v>0</v>
      </c>
      <c r="AK11" s="288">
        <f t="shared" si="14"/>
        <v>0</v>
      </c>
      <c r="AL11" s="288">
        <f t="shared" si="15"/>
        <v>0</v>
      </c>
      <c r="AM11" s="288">
        <f t="shared" si="16"/>
        <v>0</v>
      </c>
      <c r="AN11" s="288">
        <f t="shared" si="17"/>
        <v>0</v>
      </c>
      <c r="AO11" s="288">
        <f t="shared" si="18"/>
        <v>22.863392268987528</v>
      </c>
      <c r="AP11" s="315">
        <f t="shared" si="19"/>
        <v>38.105653781645884</v>
      </c>
      <c r="AQ11" s="262">
        <f>SUM(AH11:AJ11)</f>
        <v>2.5</v>
      </c>
      <c r="AR11" s="383">
        <f>AQ11/15*100</f>
        <v>16.666666666666664</v>
      </c>
      <c r="AS11" s="316">
        <f t="shared" si="21"/>
        <v>0</v>
      </c>
      <c r="AT11" s="24">
        <f t="shared" si="22"/>
        <v>0</v>
      </c>
      <c r="AU11" s="24">
        <f t="shared" si="23"/>
        <v>0</v>
      </c>
      <c r="AV11" s="24">
        <f t="shared" si="24"/>
        <v>0</v>
      </c>
    </row>
    <row r="12" spans="1:48" s="15" customFormat="1" ht="31.5" customHeight="1" x14ac:dyDescent="0.25">
      <c r="A12" s="31" t="s">
        <v>21</v>
      </c>
      <c r="B12" s="32" t="s">
        <v>40</v>
      </c>
      <c r="C12" s="32" t="s">
        <v>38</v>
      </c>
      <c r="D12" s="33" t="s">
        <v>39</v>
      </c>
      <c r="E12" s="290">
        <f>'1.1 Кач. планирования расходов'!I14</f>
        <v>9.7062153819954222</v>
      </c>
      <c r="F12" s="242">
        <f>'1.2. Качество исполнения КП'!AQ14</f>
        <v>3.975901679720395</v>
      </c>
      <c r="G12" s="242">
        <f>'1.3. Доля неиспользованых БА'!I14</f>
        <v>5</v>
      </c>
      <c r="H12" s="242">
        <f>'1.4 Своевременность принятия БО'!I13</f>
        <v>5</v>
      </c>
      <c r="I12" s="242">
        <f>'1.5 Несоотв. расч-плат док'!I13</f>
        <v>4.8752706563074293</v>
      </c>
      <c r="J12" s="243">
        <f>'1.6 Доля отклоненных ПГЗ'!I13</f>
        <v>4.8211467648606003</v>
      </c>
      <c r="K12" s="243">
        <f>'1.7. Эффективность исп. МТ '!I12</f>
        <v>5</v>
      </c>
      <c r="L12" s="243">
        <f>'1.8. Эффект.управл. КЗ'!L13</f>
        <v>5</v>
      </c>
      <c r="M12" s="243">
        <f>'1.9. Налчие просроч.КЗ'!G13</f>
        <v>10</v>
      </c>
      <c r="N12" s="243">
        <f>'1.10 Приостановление операций'!H13</f>
        <v>5</v>
      </c>
      <c r="O12" s="243">
        <f>'2.1. Кач-во пл.пост.налог+ненал'!I12</f>
        <v>5</v>
      </c>
      <c r="P12" s="243">
        <f>'2.2. Качество администр. ост.'!I14</f>
        <v>5</v>
      </c>
      <c r="Q12" s="243">
        <f>'2.3 Кач-во управ. просроч.ДЗ'!I14</f>
        <v>5</v>
      </c>
      <c r="R12" s="243">
        <f>'3.1 Степень достовер.отчет'!I13</f>
        <v>5</v>
      </c>
      <c r="S12" s="243">
        <f>'3.2 Нарушение треб. к бюдж.уч.'!H13</f>
        <v>5</v>
      </c>
      <c r="T12" s="243">
        <f>'4 Наличие на сайте ГМУ'!I13</f>
        <v>5</v>
      </c>
      <c r="U12" s="244">
        <f>'5 Управление активами'!H13</f>
        <v>5</v>
      </c>
      <c r="V12" s="102">
        <f t="shared" si="25"/>
        <v>93.37853448288385</v>
      </c>
      <c r="W12" s="335">
        <v>3</v>
      </c>
      <c r="X12" s="297">
        <f t="shared" si="26"/>
        <v>0.29378461800457778</v>
      </c>
      <c r="Y12" s="297">
        <f t="shared" si="2"/>
        <v>1.024098320279605</v>
      </c>
      <c r="Z12" s="297">
        <f t="shared" si="3"/>
        <v>0</v>
      </c>
      <c r="AA12" s="297">
        <f t="shared" si="4"/>
        <v>0</v>
      </c>
      <c r="AB12" s="297">
        <f t="shared" si="5"/>
        <v>0.12472934369257072</v>
      </c>
      <c r="AC12" s="297">
        <f t="shared" si="6"/>
        <v>0.17885323513939966</v>
      </c>
      <c r="AD12" s="297">
        <f t="shared" si="7"/>
        <v>0</v>
      </c>
      <c r="AE12" s="297">
        <f t="shared" si="8"/>
        <v>0</v>
      </c>
      <c r="AF12" s="297">
        <f t="shared" si="9"/>
        <v>0</v>
      </c>
      <c r="AG12" s="297">
        <f t="shared" si="10"/>
        <v>0</v>
      </c>
      <c r="AH12" s="297">
        <f t="shared" si="11"/>
        <v>0</v>
      </c>
      <c r="AI12" s="297">
        <f t="shared" si="12"/>
        <v>0</v>
      </c>
      <c r="AJ12" s="297">
        <f t="shared" si="13"/>
        <v>0</v>
      </c>
      <c r="AK12" s="297">
        <f t="shared" si="14"/>
        <v>0</v>
      </c>
      <c r="AL12" s="297">
        <f t="shared" si="15"/>
        <v>0</v>
      </c>
      <c r="AM12" s="297">
        <f t="shared" si="16"/>
        <v>0</v>
      </c>
      <c r="AN12" s="297">
        <f t="shared" si="17"/>
        <v>0</v>
      </c>
      <c r="AO12" s="288">
        <f t="shared" si="18"/>
        <v>1.6214655171161532</v>
      </c>
      <c r="AP12" s="316">
        <f t="shared" si="19"/>
        <v>2.7024425285269218</v>
      </c>
      <c r="AQ12" s="262">
        <f t="shared" si="20"/>
        <v>0</v>
      </c>
      <c r="AR12" s="24">
        <f t="shared" si="27"/>
        <v>0</v>
      </c>
      <c r="AS12" s="316">
        <f t="shared" si="21"/>
        <v>0</v>
      </c>
      <c r="AT12" s="384">
        <f t="shared" si="22"/>
        <v>0</v>
      </c>
      <c r="AU12" s="24">
        <f t="shared" si="23"/>
        <v>0</v>
      </c>
      <c r="AV12" s="24">
        <f t="shared" si="24"/>
        <v>0</v>
      </c>
    </row>
    <row r="13" spans="1:48" x14ac:dyDescent="0.25">
      <c r="A13" s="34">
        <v>9</v>
      </c>
      <c r="B13" s="32" t="s">
        <v>41</v>
      </c>
      <c r="C13" s="32" t="s">
        <v>42</v>
      </c>
      <c r="D13" s="33" t="s">
        <v>43</v>
      </c>
      <c r="E13" s="200">
        <f>'1.1 Кач. планирования расходов'!I15</f>
        <v>9.9413940785486332</v>
      </c>
      <c r="F13" s="242">
        <f>'1.2. Качество исполнения КП'!AQ15</f>
        <v>3.9403684519352549</v>
      </c>
      <c r="G13" s="190">
        <f>'1.3. Доля неиспользованых БА'!I15</f>
        <v>4.99999151620775</v>
      </c>
      <c r="H13" s="190">
        <f>'1.4 Своевременность принятия БО'!I14</f>
        <v>5</v>
      </c>
      <c r="I13" s="190">
        <f>'1.5 Несоотв. расч-плат док'!I14</f>
        <v>4.8714511041009461</v>
      </c>
      <c r="J13" s="244">
        <f>'1.6 Доля отклоненных ПГЗ'!I14</f>
        <v>0</v>
      </c>
      <c r="K13" s="244">
        <f>'1.7. Эффективность исп. МТ '!I13</f>
        <v>5</v>
      </c>
      <c r="L13" s="244">
        <f>'1.8. Эффект.управл. КЗ'!L14</f>
        <v>5</v>
      </c>
      <c r="M13" s="244">
        <f>'1.9. Налчие просроч.КЗ'!G14</f>
        <v>10</v>
      </c>
      <c r="N13" s="244">
        <f>'1.10 Приостановление операций'!H14</f>
        <v>5</v>
      </c>
      <c r="O13" s="244">
        <f>'2.1. Кач-во пл.пост.налог+ненал'!I13</f>
        <v>5</v>
      </c>
      <c r="P13" s="244">
        <f>'2.2. Качество администр. ост.'!I15</f>
        <v>5</v>
      </c>
      <c r="Q13" s="244">
        <f>'2.3 Кач-во управ. просроч.ДЗ'!I15</f>
        <v>5</v>
      </c>
      <c r="R13" s="244">
        <f>'3.1 Степень достовер.отчет'!I14</f>
        <v>5</v>
      </c>
      <c r="S13" s="244">
        <f>'3.2 Нарушение треб. к бюдж.уч.'!H14</f>
        <v>5</v>
      </c>
      <c r="T13" s="244">
        <f>'4 Наличие на сайте ГМУ'!I14</f>
        <v>5</v>
      </c>
      <c r="U13" s="244">
        <f>'5 Управление активами'!H14</f>
        <v>5</v>
      </c>
      <c r="V13" s="155">
        <f t="shared" si="25"/>
        <v>88.753205150792581</v>
      </c>
      <c r="W13" s="334">
        <v>6</v>
      </c>
      <c r="X13" s="288">
        <f t="shared" si="26"/>
        <v>5.8605921451366783E-2</v>
      </c>
      <c r="Y13" s="288">
        <f t="shared" si="2"/>
        <v>1.0596315480647451</v>
      </c>
      <c r="Z13" s="288">
        <f t="shared" si="3"/>
        <v>8.4837922500469176E-6</v>
      </c>
      <c r="AA13" s="288">
        <f t="shared" si="4"/>
        <v>0</v>
      </c>
      <c r="AB13" s="288">
        <f t="shared" si="5"/>
        <v>0.12854889589905394</v>
      </c>
      <c r="AC13" s="288">
        <f t="shared" si="6"/>
        <v>5</v>
      </c>
      <c r="AD13" s="288">
        <f t="shared" si="7"/>
        <v>0</v>
      </c>
      <c r="AE13" s="288">
        <f t="shared" si="8"/>
        <v>0</v>
      </c>
      <c r="AF13" s="288">
        <f t="shared" si="9"/>
        <v>0</v>
      </c>
      <c r="AG13" s="288">
        <f t="shared" si="10"/>
        <v>0</v>
      </c>
      <c r="AH13" s="288">
        <f t="shared" si="11"/>
        <v>0</v>
      </c>
      <c r="AI13" s="288">
        <f t="shared" si="12"/>
        <v>0</v>
      </c>
      <c r="AJ13" s="288">
        <f t="shared" si="13"/>
        <v>0</v>
      </c>
      <c r="AK13" s="288">
        <f t="shared" si="14"/>
        <v>0</v>
      </c>
      <c r="AL13" s="288">
        <f t="shared" si="15"/>
        <v>0</v>
      </c>
      <c r="AM13" s="288">
        <f t="shared" si="16"/>
        <v>0</v>
      </c>
      <c r="AN13" s="288">
        <f t="shared" si="17"/>
        <v>0</v>
      </c>
      <c r="AO13" s="288">
        <f t="shared" si="18"/>
        <v>6.2467948492074159</v>
      </c>
      <c r="AP13" s="316">
        <f t="shared" si="19"/>
        <v>10.411324748679027</v>
      </c>
      <c r="AQ13" s="262">
        <f t="shared" si="20"/>
        <v>0</v>
      </c>
      <c r="AR13" s="385">
        <f t="shared" si="27"/>
        <v>0</v>
      </c>
      <c r="AS13" s="316">
        <f>AK13+AL13</f>
        <v>0</v>
      </c>
      <c r="AT13" s="385">
        <f>AS13/10*100</f>
        <v>0</v>
      </c>
      <c r="AU13" s="384">
        <f t="shared" si="23"/>
        <v>0</v>
      </c>
      <c r="AV13" s="24">
        <f t="shared" si="24"/>
        <v>0</v>
      </c>
    </row>
    <row r="14" spans="1:48" ht="31.9" customHeight="1" x14ac:dyDescent="0.25">
      <c r="A14" s="34">
        <v>10</v>
      </c>
      <c r="B14" s="32" t="s">
        <v>44</v>
      </c>
      <c r="C14" s="32" t="s">
        <v>45</v>
      </c>
      <c r="D14" s="33" t="s">
        <v>46</v>
      </c>
      <c r="E14" s="200">
        <f>'1.1 Кач. планирования расходов'!I16</f>
        <v>9.9697446581240143</v>
      </c>
      <c r="F14" s="242">
        <f>'1.2. Качество исполнения КП'!AQ16</f>
        <v>3.9971016317067232</v>
      </c>
      <c r="G14" s="190">
        <f>'1.3. Доля неиспользованых БА'!I16</f>
        <v>5</v>
      </c>
      <c r="H14" s="190">
        <f>'1.4 Своевременность принятия БО'!I15</f>
        <v>5</v>
      </c>
      <c r="I14" s="190">
        <f>'1.5 Несоотв. расч-плат док'!I15</f>
        <v>4.7743589743589743</v>
      </c>
      <c r="J14" s="244">
        <f>'1.6 Доля отклоненных ПГЗ'!I15</f>
        <v>0</v>
      </c>
      <c r="K14" s="244">
        <f>'1.7. Эффективность исп. МТ '!I14</f>
        <v>5</v>
      </c>
      <c r="L14" s="244">
        <f>'1.8. Эффект.управл. КЗ'!L15</f>
        <v>5</v>
      </c>
      <c r="M14" s="244">
        <f>'1.9. Налчие просроч.КЗ'!G15</f>
        <v>10</v>
      </c>
      <c r="N14" s="244">
        <f>'1.10 Приостановление операций'!H15</f>
        <v>5</v>
      </c>
      <c r="O14" s="244">
        <f>'2.1. Кач-во пл.пост.налог+ненал'!I14</f>
        <v>5</v>
      </c>
      <c r="P14" s="244">
        <f>'2.2. Качество администр. ост.'!I16</f>
        <v>5</v>
      </c>
      <c r="Q14" s="244">
        <f>'2.3 Кач-во управ. просроч.ДЗ'!I16</f>
        <v>5</v>
      </c>
      <c r="R14" s="244">
        <f>'3.1 Степень достовер.отчет'!I15</f>
        <v>5</v>
      </c>
      <c r="S14" s="244">
        <f>'3.2 Нарушение треб. к бюдж.уч.'!H15</f>
        <v>5</v>
      </c>
      <c r="T14" s="244">
        <f>'4 Наличие на сайте ГМУ'!I15</f>
        <v>5</v>
      </c>
      <c r="U14" s="244">
        <f>'5 Управление активами'!H15</f>
        <v>5</v>
      </c>
      <c r="V14" s="155">
        <f t="shared" si="25"/>
        <v>88.741205264189716</v>
      </c>
      <c r="W14" s="334">
        <v>7</v>
      </c>
      <c r="X14" s="288">
        <f>10-E14</f>
        <v>3.0255341875985664E-2</v>
      </c>
      <c r="Y14" s="288">
        <f t="shared" si="2"/>
        <v>1.0028983682932768</v>
      </c>
      <c r="Z14" s="288">
        <f t="shared" si="3"/>
        <v>0</v>
      </c>
      <c r="AA14" s="288">
        <f t="shared" si="4"/>
        <v>0</v>
      </c>
      <c r="AB14" s="288">
        <f t="shared" si="5"/>
        <v>0.22564102564102573</v>
      </c>
      <c r="AC14" s="288">
        <f t="shared" si="6"/>
        <v>5</v>
      </c>
      <c r="AD14" s="288">
        <f t="shared" si="7"/>
        <v>0</v>
      </c>
      <c r="AE14" s="288">
        <f t="shared" si="8"/>
        <v>0</v>
      </c>
      <c r="AF14" s="288">
        <f t="shared" si="9"/>
        <v>0</v>
      </c>
      <c r="AG14" s="288">
        <f t="shared" si="10"/>
        <v>0</v>
      </c>
      <c r="AH14" s="288">
        <f t="shared" si="11"/>
        <v>0</v>
      </c>
      <c r="AI14" s="288">
        <f t="shared" si="12"/>
        <v>0</v>
      </c>
      <c r="AJ14" s="288">
        <f t="shared" si="13"/>
        <v>0</v>
      </c>
      <c r="AK14" s="288">
        <f t="shared" si="14"/>
        <v>0</v>
      </c>
      <c r="AL14" s="288">
        <f t="shared" si="15"/>
        <v>0</v>
      </c>
      <c r="AM14" s="288">
        <f t="shared" si="16"/>
        <v>0</v>
      </c>
      <c r="AN14" s="288">
        <f t="shared" si="17"/>
        <v>0</v>
      </c>
      <c r="AO14" s="288">
        <f>SUM(X14:AG14)</f>
        <v>6.2587947358102882</v>
      </c>
      <c r="AP14" s="316">
        <f>AO14/60*100</f>
        <v>10.431324559683814</v>
      </c>
      <c r="AQ14" s="262">
        <f t="shared" si="20"/>
        <v>0</v>
      </c>
      <c r="AR14" s="386">
        <f t="shared" si="27"/>
        <v>0</v>
      </c>
      <c r="AS14" s="316">
        <f t="shared" si="21"/>
        <v>0</v>
      </c>
      <c r="AT14" s="385">
        <f t="shared" si="22"/>
        <v>0</v>
      </c>
      <c r="AU14" s="384">
        <f t="shared" si="23"/>
        <v>0</v>
      </c>
      <c r="AV14" s="24">
        <f t="shared" si="24"/>
        <v>0</v>
      </c>
    </row>
    <row r="15" spans="1:48" ht="31.5" x14ac:dyDescent="0.25">
      <c r="A15" s="34">
        <v>11</v>
      </c>
      <c r="B15" s="32" t="s">
        <v>47</v>
      </c>
      <c r="C15" s="32" t="s">
        <v>48</v>
      </c>
      <c r="D15" s="33" t="s">
        <v>49</v>
      </c>
      <c r="E15" s="200">
        <f>'1.1 Кач. планирования расходов'!I17</f>
        <v>9.9556725308214435</v>
      </c>
      <c r="F15" s="242">
        <f>'1.2. Качество исполнения КП'!AQ17</f>
        <v>3.6652647634505042</v>
      </c>
      <c r="G15" s="190">
        <f>'1.3. Доля неиспользованых БА'!I17</f>
        <v>5</v>
      </c>
      <c r="H15" s="190">
        <f>'1.4 Своевременность принятия БО'!I16</f>
        <v>5</v>
      </c>
      <c r="I15" s="190">
        <f>'1.5 Несоотв. расч-плат док'!I16</f>
        <v>4.7986247544204321</v>
      </c>
      <c r="J15" s="244">
        <f>'1.6 Доля отклоненных ПГЗ'!I16</f>
        <v>0</v>
      </c>
      <c r="K15" s="244">
        <f>'1.7. Эффективность исп. МТ '!I15</f>
        <v>5</v>
      </c>
      <c r="L15" s="244">
        <f>'1.8. Эффект.управл. КЗ'!L16</f>
        <v>5</v>
      </c>
      <c r="M15" s="244">
        <f>'1.9. Налчие просроч.КЗ'!G16</f>
        <v>10</v>
      </c>
      <c r="N15" s="244">
        <f>'1.10 Приостановление операций'!H16</f>
        <v>5</v>
      </c>
      <c r="O15" s="244">
        <f>'2.1. Кач-во пл.пост.налог+ненал'!I15</f>
        <v>5</v>
      </c>
      <c r="P15" s="244">
        <f>'2.2. Качество администр. ост.'!I17</f>
        <v>5</v>
      </c>
      <c r="Q15" s="244">
        <f>'2.3 Кач-во управ. просроч.ДЗ'!I17</f>
        <v>0</v>
      </c>
      <c r="R15" s="244">
        <f>'3.1 Степень достовер.отчет'!I16</f>
        <v>5</v>
      </c>
      <c r="S15" s="244">
        <f>'3.2 Нарушение треб. к бюдж.уч.'!H16</f>
        <v>5</v>
      </c>
      <c r="T15" s="244">
        <f>'4 Наличие на сайте ГМУ'!I16</f>
        <v>5</v>
      </c>
      <c r="U15" s="244">
        <f>'5 Управление активами'!H16</f>
        <v>5</v>
      </c>
      <c r="V15" s="155">
        <f t="shared" si="25"/>
        <v>83.41956204869237</v>
      </c>
      <c r="W15" s="334">
        <v>10</v>
      </c>
      <c r="X15" s="288">
        <f t="shared" si="26"/>
        <v>4.4327469178556456E-2</v>
      </c>
      <c r="Y15" s="288">
        <f>5-F15</f>
        <v>1.3347352365494958</v>
      </c>
      <c r="Z15" s="288">
        <f t="shared" si="3"/>
        <v>0</v>
      </c>
      <c r="AA15" s="288">
        <f t="shared" si="4"/>
        <v>0</v>
      </c>
      <c r="AB15" s="288">
        <f t="shared" si="5"/>
        <v>0.20137524557956787</v>
      </c>
      <c r="AC15" s="288">
        <f t="shared" si="6"/>
        <v>5</v>
      </c>
      <c r="AD15" s="288">
        <f t="shared" si="7"/>
        <v>0</v>
      </c>
      <c r="AE15" s="288">
        <f t="shared" si="8"/>
        <v>0</v>
      </c>
      <c r="AF15" s="288">
        <f t="shared" si="9"/>
        <v>0</v>
      </c>
      <c r="AG15" s="288">
        <f t="shared" si="10"/>
        <v>0</v>
      </c>
      <c r="AH15" s="288">
        <f t="shared" si="11"/>
        <v>0</v>
      </c>
      <c r="AI15" s="288">
        <f t="shared" si="12"/>
        <v>0</v>
      </c>
      <c r="AJ15" s="288">
        <f t="shared" si="13"/>
        <v>5</v>
      </c>
      <c r="AK15" s="288">
        <f t="shared" si="14"/>
        <v>0</v>
      </c>
      <c r="AL15" s="288">
        <f t="shared" si="15"/>
        <v>0</v>
      </c>
      <c r="AM15" s="288">
        <f t="shared" si="16"/>
        <v>0</v>
      </c>
      <c r="AN15" s="288">
        <f t="shared" si="17"/>
        <v>0</v>
      </c>
      <c r="AO15" s="288">
        <f t="shared" si="18"/>
        <v>6.5804379513076201</v>
      </c>
      <c r="AP15" s="316">
        <f t="shared" si="19"/>
        <v>10.967396585512699</v>
      </c>
      <c r="AQ15" s="262">
        <f t="shared" si="20"/>
        <v>5</v>
      </c>
      <c r="AR15" s="315">
        <f t="shared" si="27"/>
        <v>33.333333333333329</v>
      </c>
      <c r="AS15" s="316">
        <f t="shared" si="21"/>
        <v>0</v>
      </c>
      <c r="AT15" s="24">
        <f t="shared" si="22"/>
        <v>0</v>
      </c>
      <c r="AU15" s="24">
        <f t="shared" si="23"/>
        <v>0</v>
      </c>
      <c r="AV15" s="24">
        <f t="shared" si="24"/>
        <v>0</v>
      </c>
    </row>
    <row r="16" spans="1:48" ht="45.75" customHeight="1" thickBot="1" x14ac:dyDescent="0.3">
      <c r="A16" s="247" t="s">
        <v>37</v>
      </c>
      <c r="B16" s="248" t="s">
        <v>50</v>
      </c>
      <c r="C16" s="248" t="s">
        <v>51</v>
      </c>
      <c r="D16" s="249" t="s">
        <v>52</v>
      </c>
      <c r="E16" s="237">
        <f>'1.1 Кач. планирования расходов'!I18</f>
        <v>9.9723171387778571</v>
      </c>
      <c r="F16" s="245">
        <f>'1.2. Качество исполнения КП'!AQ18</f>
        <v>4.344556167902784</v>
      </c>
      <c r="G16" s="246">
        <f>'1.3. Доля неиспользованых БА'!I18</f>
        <v>5</v>
      </c>
      <c r="H16" s="246">
        <f>'1.4 Своевременность принятия БО'!I17</f>
        <v>5</v>
      </c>
      <c r="I16" s="246">
        <f>'1.5 Несоотв. расч-плат док'!I17</f>
        <v>4.6173848439821699</v>
      </c>
      <c r="J16" s="250">
        <f>'1.6 Доля отклоненных ПГЗ'!I17</f>
        <v>0</v>
      </c>
      <c r="K16" s="250">
        <f>'1.7. Эффективность исп. МТ '!I16</f>
        <v>5</v>
      </c>
      <c r="L16" s="250">
        <f>'1.8. Эффект.управл. КЗ'!L17</f>
        <v>5</v>
      </c>
      <c r="M16" s="250">
        <f>'1.9. Налчие просроч.КЗ'!G17</f>
        <v>10</v>
      </c>
      <c r="N16" s="250">
        <f>'1.10 Приостановление операций'!H17</f>
        <v>5</v>
      </c>
      <c r="O16" s="250">
        <f>'2.1. Кач-во пл.пост.налог+ненал'!I16</f>
        <v>5</v>
      </c>
      <c r="P16" s="250">
        <f>'2.2. Качество администр. ост.'!I18</f>
        <v>5</v>
      </c>
      <c r="Q16" s="251">
        <f>'2.3 Кач-во управ. просроч.ДЗ'!I18</f>
        <v>1.5123457144977761</v>
      </c>
      <c r="R16" s="250">
        <f>'3.1 Степень достовер.отчет'!I17</f>
        <v>5</v>
      </c>
      <c r="S16" s="250">
        <f>'3.2 Нарушение треб. к бюдж.уч.'!H17</f>
        <v>5</v>
      </c>
      <c r="T16" s="250">
        <f>'4 Наличие на сайте ГМУ'!I17</f>
        <v>5</v>
      </c>
      <c r="U16" s="244">
        <f>'5 Управление активами'!H17</f>
        <v>5</v>
      </c>
      <c r="V16" s="251">
        <f t="shared" si="25"/>
        <v>85.446603865160583</v>
      </c>
      <c r="W16" s="336">
        <v>9</v>
      </c>
      <c r="X16" s="288">
        <f t="shared" si="26"/>
        <v>2.7682861222142918E-2</v>
      </c>
      <c r="Y16" s="288">
        <f t="shared" si="2"/>
        <v>0.65544383209721602</v>
      </c>
      <c r="Z16" s="288">
        <f t="shared" si="3"/>
        <v>0</v>
      </c>
      <c r="AA16" s="288">
        <f t="shared" si="4"/>
        <v>0</v>
      </c>
      <c r="AB16" s="288">
        <f t="shared" si="5"/>
        <v>0.38261515601783014</v>
      </c>
      <c r="AC16" s="288">
        <f t="shared" si="6"/>
        <v>5</v>
      </c>
      <c r="AD16" s="288">
        <f t="shared" si="7"/>
        <v>0</v>
      </c>
      <c r="AE16" s="288">
        <f t="shared" si="8"/>
        <v>0</v>
      </c>
      <c r="AF16" s="288">
        <f t="shared" si="9"/>
        <v>0</v>
      </c>
      <c r="AG16" s="288">
        <f t="shared" si="10"/>
        <v>0</v>
      </c>
      <c r="AH16" s="288">
        <f t="shared" si="11"/>
        <v>0</v>
      </c>
      <c r="AI16" s="288">
        <f t="shared" si="12"/>
        <v>0</v>
      </c>
      <c r="AJ16" s="288">
        <f t="shared" si="13"/>
        <v>3.4876542855022237</v>
      </c>
      <c r="AK16" s="288">
        <f t="shared" si="14"/>
        <v>0</v>
      </c>
      <c r="AL16" s="288">
        <f t="shared" si="15"/>
        <v>0</v>
      </c>
      <c r="AM16" s="288">
        <f t="shared" si="16"/>
        <v>0</v>
      </c>
      <c r="AN16" s="288">
        <f t="shared" si="17"/>
        <v>0</v>
      </c>
      <c r="AO16" s="288">
        <f t="shared" si="18"/>
        <v>6.0657418493371891</v>
      </c>
      <c r="AP16" s="316">
        <f>AO16/60*100</f>
        <v>10.109569748895316</v>
      </c>
      <c r="AQ16" s="262">
        <f t="shared" si="20"/>
        <v>3.4876542855022237</v>
      </c>
      <c r="AR16" s="383">
        <f>AQ16/15*100</f>
        <v>23.251028570014824</v>
      </c>
      <c r="AS16" s="316">
        <f t="shared" si="21"/>
        <v>0</v>
      </c>
      <c r="AT16" s="24">
        <f t="shared" si="22"/>
        <v>0</v>
      </c>
      <c r="AU16" s="24">
        <f t="shared" si="23"/>
        <v>0</v>
      </c>
      <c r="AV16" s="24">
        <f t="shared" si="24"/>
        <v>0</v>
      </c>
    </row>
    <row r="17" spans="1:23" s="38" customFormat="1" x14ac:dyDescent="0.25">
      <c r="A17" s="501" t="s">
        <v>199</v>
      </c>
      <c r="B17" s="502"/>
      <c r="C17" s="502"/>
      <c r="D17" s="503"/>
      <c r="E17" s="292">
        <f>SUM(E5:E16)</f>
        <v>117.31668250661595</v>
      </c>
      <c r="F17" s="292">
        <f t="shared" ref="F17:T17" si="28">SUM(F5:F16)</f>
        <v>45.892895125237501</v>
      </c>
      <c r="G17" s="292">
        <f t="shared" si="28"/>
        <v>52.942637846576083</v>
      </c>
      <c r="H17" s="292">
        <f t="shared" si="28"/>
        <v>55</v>
      </c>
      <c r="I17" s="292">
        <f t="shared" si="28"/>
        <v>57.866212034094112</v>
      </c>
      <c r="J17" s="292">
        <f t="shared" si="28"/>
        <v>29.8211467648606</v>
      </c>
      <c r="K17" s="292">
        <f t="shared" si="28"/>
        <v>55</v>
      </c>
      <c r="L17" s="292">
        <f t="shared" si="28"/>
        <v>59.88750829442592</v>
      </c>
      <c r="M17" s="292">
        <f t="shared" si="28"/>
        <v>120</v>
      </c>
      <c r="N17" s="292">
        <f t="shared" si="28"/>
        <v>60</v>
      </c>
      <c r="O17" s="292">
        <f t="shared" si="28"/>
        <v>50</v>
      </c>
      <c r="P17" s="292">
        <f t="shared" si="28"/>
        <v>60</v>
      </c>
      <c r="Q17" s="292">
        <f t="shared" si="28"/>
        <v>46.512345714497776</v>
      </c>
      <c r="R17" s="292">
        <f t="shared" si="28"/>
        <v>60</v>
      </c>
      <c r="S17" s="292">
        <f t="shared" si="28"/>
        <v>60</v>
      </c>
      <c r="T17" s="292">
        <f t="shared" si="28"/>
        <v>60</v>
      </c>
      <c r="U17" s="292">
        <f t="shared" ref="U17" si="29">SUM(U5:U16)</f>
        <v>60</v>
      </c>
      <c r="V17" s="295">
        <f t="shared" ref="V17" si="30">SUM(V5:V16)</f>
        <v>1050.2394282863081</v>
      </c>
      <c r="W17" s="293"/>
    </row>
    <row r="18" spans="1:23" s="38" customFormat="1" x14ac:dyDescent="0.25">
      <c r="A18" s="504" t="s">
        <v>188</v>
      </c>
      <c r="B18" s="505"/>
      <c r="C18" s="505"/>
      <c r="D18" s="506"/>
      <c r="E18" s="260">
        <f>E17/12</f>
        <v>9.7763902088846617</v>
      </c>
      <c r="F18" s="260">
        <f t="shared" ref="F18:U18" si="31">F17/12</f>
        <v>3.8244079271031253</v>
      </c>
      <c r="G18" s="260">
        <f t="shared" si="31"/>
        <v>4.4118864872146739</v>
      </c>
      <c r="H18" s="260">
        <f t="shared" si="31"/>
        <v>4.583333333333333</v>
      </c>
      <c r="I18" s="260">
        <f t="shared" si="31"/>
        <v>4.8221843361745096</v>
      </c>
      <c r="J18" s="260">
        <f t="shared" si="31"/>
        <v>2.4850955637383834</v>
      </c>
      <c r="K18" s="260">
        <f t="shared" si="31"/>
        <v>4.583333333333333</v>
      </c>
      <c r="L18" s="260">
        <f t="shared" si="31"/>
        <v>4.99062569120216</v>
      </c>
      <c r="M18" s="260">
        <f t="shared" si="31"/>
        <v>10</v>
      </c>
      <c r="N18" s="260">
        <f t="shared" si="31"/>
        <v>5</v>
      </c>
      <c r="O18" s="260">
        <f t="shared" si="31"/>
        <v>4.166666666666667</v>
      </c>
      <c r="P18" s="260">
        <f t="shared" si="31"/>
        <v>5</v>
      </c>
      <c r="Q18" s="260">
        <f t="shared" si="31"/>
        <v>3.8760288095414812</v>
      </c>
      <c r="R18" s="260">
        <f t="shared" si="31"/>
        <v>5</v>
      </c>
      <c r="S18" s="260">
        <f t="shared" si="31"/>
        <v>5</v>
      </c>
      <c r="T18" s="260">
        <f t="shared" si="31"/>
        <v>5</v>
      </c>
      <c r="U18" s="260">
        <f t="shared" si="31"/>
        <v>5</v>
      </c>
      <c r="V18" s="296">
        <f>V17/12</f>
        <v>87.519952357192338</v>
      </c>
      <c r="W18" s="294"/>
    </row>
    <row r="19" spans="1:23" ht="54" customHeight="1" x14ac:dyDescent="0.25">
      <c r="A19" s="15"/>
      <c r="B19" s="15"/>
      <c r="C19" s="15"/>
      <c r="D19" s="15"/>
      <c r="E19" s="15"/>
      <c r="F19" s="15"/>
    </row>
    <row r="20" spans="1:23" s="17" customFormat="1" ht="18.75" x14ac:dyDescent="0.3">
      <c r="A20" s="493" t="s">
        <v>202</v>
      </c>
      <c r="B20" s="493"/>
      <c r="C20" s="493"/>
      <c r="D20" s="493"/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493"/>
      <c r="P20" s="493"/>
      <c r="Q20" s="493"/>
      <c r="R20" s="493"/>
      <c r="S20" s="493"/>
      <c r="T20" s="493"/>
      <c r="U20" s="493"/>
      <c r="V20" s="493"/>
      <c r="W20" s="493"/>
    </row>
    <row r="21" spans="1:23" s="17" customFormat="1" x14ac:dyDescent="0.25">
      <c r="A21" s="387"/>
      <c r="B21" s="388"/>
      <c r="C21" s="389"/>
    </row>
    <row r="22" spans="1:23" x14ac:dyDescent="0.25">
      <c r="A22" s="15"/>
      <c r="B22" s="15"/>
      <c r="C22" s="15"/>
      <c r="D22" s="15"/>
      <c r="E22" s="15"/>
      <c r="F22" s="15"/>
    </row>
    <row r="23" spans="1:23" s="17" customFormat="1" x14ac:dyDescent="0.25">
      <c r="A23" s="41"/>
      <c r="B23" s="41"/>
      <c r="C23" s="15"/>
      <c r="D23" s="26"/>
      <c r="E23" s="26"/>
      <c r="F23" s="15"/>
    </row>
  </sheetData>
  <mergeCells count="13">
    <mergeCell ref="V3:V4"/>
    <mergeCell ref="A1:W1"/>
    <mergeCell ref="W3:W4"/>
    <mergeCell ref="A20:W20"/>
    <mergeCell ref="A21:C21"/>
    <mergeCell ref="A3:A4"/>
    <mergeCell ref="B3:B4"/>
    <mergeCell ref="C3:C4"/>
    <mergeCell ref="D3:D4"/>
    <mergeCell ref="E3:U3"/>
    <mergeCell ref="A17:D17"/>
    <mergeCell ref="A18:D18"/>
    <mergeCell ref="A2:W2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AT24"/>
  <sheetViews>
    <sheetView view="pageBreakPreview" zoomScale="68" zoomScaleNormal="100" zoomScaleSheetLayoutView="68" workbookViewId="0">
      <pane xSplit="4" topLeftCell="E1" activePane="topRight" state="frozen"/>
      <selection pane="topRight" activeCell="AK17" sqref="AK17"/>
    </sheetView>
  </sheetViews>
  <sheetFormatPr defaultRowHeight="15" x14ac:dyDescent="0.25"/>
  <cols>
    <col min="1" max="1" width="4.28515625" style="339" customWidth="1"/>
    <col min="2" max="2" width="6.7109375" style="339" customWidth="1"/>
    <col min="3" max="3" width="13.28515625" style="339" customWidth="1"/>
    <col min="4" max="4" width="29.5703125" style="339" customWidth="1"/>
    <col min="5" max="5" width="16.85546875" style="339" customWidth="1"/>
    <col min="6" max="6" width="16.5703125" style="339" customWidth="1"/>
    <col min="7" max="7" width="13.5703125" style="339" customWidth="1"/>
    <col min="8" max="8" width="17" style="339" customWidth="1"/>
    <col min="9" max="9" width="16.85546875" style="339" customWidth="1"/>
    <col min="10" max="10" width="15" style="339" customWidth="1"/>
    <col min="11" max="11" width="16.85546875" style="339" customWidth="1"/>
    <col min="12" max="12" width="17.42578125" style="339" customWidth="1"/>
    <col min="13" max="13" width="14.42578125" style="339" customWidth="1"/>
    <col min="14" max="14" width="16.140625" style="339" customWidth="1"/>
    <col min="15" max="15" width="17.7109375" style="339" customWidth="1"/>
    <col min="16" max="16" width="15.5703125" style="339" customWidth="1"/>
    <col min="17" max="17" width="17" style="339" customWidth="1"/>
    <col min="18" max="19" width="16.5703125" style="339" customWidth="1"/>
    <col min="20" max="20" width="16.28515625" style="339" customWidth="1"/>
    <col min="21" max="21" width="17.5703125" style="339" customWidth="1"/>
    <col min="22" max="22" width="16" style="339" customWidth="1"/>
    <col min="23" max="23" width="16.85546875" style="339" customWidth="1"/>
    <col min="24" max="24" width="17" style="339" customWidth="1"/>
    <col min="25" max="26" width="16.42578125" style="339" customWidth="1"/>
    <col min="27" max="28" width="16.5703125" style="339" customWidth="1"/>
    <col min="29" max="29" width="17" style="339" customWidth="1"/>
    <col min="30" max="30" width="16.85546875" style="339" customWidth="1"/>
    <col min="31" max="31" width="15.85546875" style="339" customWidth="1"/>
    <col min="32" max="32" width="16.5703125" style="339" customWidth="1"/>
    <col min="33" max="33" width="17.42578125" style="339" customWidth="1"/>
    <col min="34" max="34" width="16" style="339" customWidth="1"/>
    <col min="35" max="35" width="15.85546875" style="339" customWidth="1"/>
    <col min="36" max="38" width="16.85546875" style="339" customWidth="1"/>
    <col min="39" max="40" width="16.140625" style="339" customWidth="1"/>
    <col min="41" max="41" width="17.5703125" style="339" customWidth="1"/>
    <col min="42" max="42" width="27.5703125" style="339" customWidth="1"/>
    <col min="43" max="43" width="14" style="339" customWidth="1"/>
    <col min="44" max="44" width="9.140625" style="339"/>
    <col min="45" max="45" width="21" style="339" customWidth="1"/>
    <col min="46" max="46" width="19.140625" style="339" customWidth="1"/>
    <col min="47" max="16384" width="9.140625" style="339"/>
  </cols>
  <sheetData>
    <row r="2" spans="1:46" x14ac:dyDescent="0.25">
      <c r="A2" s="416" t="s">
        <v>212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  <c r="AA2" s="417"/>
      <c r="AB2" s="417"/>
      <c r="AC2" s="417"/>
      <c r="AD2" s="417"/>
      <c r="AE2" s="417"/>
      <c r="AF2" s="417"/>
      <c r="AG2" s="417"/>
      <c r="AH2" s="417"/>
      <c r="AI2" s="417"/>
      <c r="AJ2" s="417"/>
      <c r="AK2" s="417"/>
      <c r="AL2" s="417"/>
      <c r="AM2" s="417"/>
      <c r="AN2" s="417"/>
      <c r="AO2" s="417"/>
      <c r="AP2" s="417"/>
      <c r="AQ2" s="417"/>
    </row>
    <row r="3" spans="1:46" ht="16.149999999999999" thickBot="1" x14ac:dyDescent="0.35">
      <c r="A3" s="15"/>
      <c r="B3" s="15"/>
      <c r="C3" s="15"/>
      <c r="D3" s="340"/>
      <c r="E3" s="392"/>
      <c r="F3" s="392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  <c r="AH3" s="326"/>
      <c r="AI3" s="326"/>
      <c r="AJ3" s="326"/>
      <c r="AK3" s="326"/>
      <c r="AL3" s="326"/>
      <c r="AM3" s="326"/>
      <c r="AN3" s="326"/>
      <c r="AO3" s="15"/>
      <c r="AP3" s="15"/>
      <c r="AQ3" s="15"/>
    </row>
    <row r="4" spans="1:46" ht="31.9" customHeight="1" thickBot="1" x14ac:dyDescent="0.3">
      <c r="A4" s="430" t="s">
        <v>0</v>
      </c>
      <c r="B4" s="425" t="s">
        <v>108</v>
      </c>
      <c r="C4" s="425" t="s">
        <v>1</v>
      </c>
      <c r="D4" s="425" t="s">
        <v>2</v>
      </c>
      <c r="E4" s="407" t="s">
        <v>195</v>
      </c>
      <c r="F4" s="408"/>
      <c r="G4" s="408"/>
      <c r="H4" s="408"/>
      <c r="I4" s="408"/>
      <c r="J4" s="408"/>
      <c r="K4" s="408"/>
      <c r="L4" s="408"/>
      <c r="M4" s="408"/>
      <c r="N4" s="408"/>
      <c r="O4" s="408"/>
      <c r="P4" s="408"/>
      <c r="Q4" s="408"/>
      <c r="R4" s="408"/>
      <c r="S4" s="408"/>
      <c r="T4" s="408"/>
      <c r="U4" s="408"/>
      <c r="V4" s="408"/>
      <c r="W4" s="408"/>
      <c r="X4" s="408"/>
      <c r="Y4" s="408"/>
      <c r="Z4" s="408"/>
      <c r="AA4" s="408"/>
      <c r="AB4" s="408"/>
      <c r="AC4" s="408"/>
      <c r="AD4" s="408"/>
      <c r="AE4" s="408"/>
      <c r="AF4" s="408"/>
      <c r="AG4" s="408"/>
      <c r="AH4" s="408"/>
      <c r="AI4" s="408"/>
      <c r="AJ4" s="408"/>
      <c r="AK4" s="408"/>
      <c r="AL4" s="408"/>
      <c r="AM4" s="408"/>
      <c r="AN4" s="241"/>
      <c r="AO4" s="414" t="s">
        <v>79</v>
      </c>
      <c r="AP4" s="405" t="s">
        <v>72</v>
      </c>
      <c r="AQ4" s="418" t="s">
        <v>57</v>
      </c>
    </row>
    <row r="5" spans="1:46" ht="31.9" customHeight="1" thickBot="1" x14ac:dyDescent="0.3">
      <c r="A5" s="431"/>
      <c r="B5" s="428"/>
      <c r="C5" s="428"/>
      <c r="D5" s="426"/>
      <c r="E5" s="412" t="s">
        <v>153</v>
      </c>
      <c r="F5" s="410"/>
      <c r="G5" s="411"/>
      <c r="H5" s="409" t="s">
        <v>154</v>
      </c>
      <c r="I5" s="410"/>
      <c r="J5" s="411"/>
      <c r="K5" s="409" t="s">
        <v>155</v>
      </c>
      <c r="L5" s="410"/>
      <c r="M5" s="411"/>
      <c r="N5" s="409" t="s">
        <v>156</v>
      </c>
      <c r="O5" s="410"/>
      <c r="P5" s="411"/>
      <c r="Q5" s="409" t="s">
        <v>157</v>
      </c>
      <c r="R5" s="410"/>
      <c r="S5" s="411"/>
      <c r="T5" s="409" t="s">
        <v>158</v>
      </c>
      <c r="U5" s="410"/>
      <c r="V5" s="411"/>
      <c r="W5" s="409" t="s">
        <v>159</v>
      </c>
      <c r="X5" s="410"/>
      <c r="Y5" s="411"/>
      <c r="Z5" s="409" t="s">
        <v>160</v>
      </c>
      <c r="AA5" s="410"/>
      <c r="AB5" s="411"/>
      <c r="AC5" s="409" t="s">
        <v>161</v>
      </c>
      <c r="AD5" s="410"/>
      <c r="AE5" s="411"/>
      <c r="AF5" s="409" t="s">
        <v>189</v>
      </c>
      <c r="AG5" s="410"/>
      <c r="AH5" s="411"/>
      <c r="AI5" s="409" t="s">
        <v>162</v>
      </c>
      <c r="AJ5" s="410"/>
      <c r="AK5" s="410"/>
      <c r="AL5" s="412" t="s">
        <v>163</v>
      </c>
      <c r="AM5" s="410"/>
      <c r="AN5" s="413"/>
      <c r="AO5" s="415"/>
      <c r="AP5" s="406"/>
      <c r="AQ5" s="419"/>
    </row>
    <row r="6" spans="1:46" ht="51" customHeight="1" thickBot="1" x14ac:dyDescent="0.3">
      <c r="A6" s="432"/>
      <c r="B6" s="429"/>
      <c r="C6" s="429"/>
      <c r="D6" s="427"/>
      <c r="E6" s="167" t="s">
        <v>94</v>
      </c>
      <c r="F6" s="168" t="s">
        <v>95</v>
      </c>
      <c r="G6" s="168"/>
      <c r="H6" s="168" t="s">
        <v>94</v>
      </c>
      <c r="I6" s="168" t="s">
        <v>95</v>
      </c>
      <c r="J6" s="168"/>
      <c r="K6" s="168" t="s">
        <v>94</v>
      </c>
      <c r="L6" s="168" t="s">
        <v>95</v>
      </c>
      <c r="M6" s="168"/>
      <c r="N6" s="168" t="s">
        <v>94</v>
      </c>
      <c r="O6" s="168" t="s">
        <v>95</v>
      </c>
      <c r="P6" s="168"/>
      <c r="Q6" s="168" t="s">
        <v>94</v>
      </c>
      <c r="R6" s="168" t="s">
        <v>95</v>
      </c>
      <c r="S6" s="168"/>
      <c r="T6" s="168" t="s">
        <v>94</v>
      </c>
      <c r="U6" s="168" t="s">
        <v>95</v>
      </c>
      <c r="V6" s="168"/>
      <c r="W6" s="168" t="s">
        <v>94</v>
      </c>
      <c r="X6" s="168" t="s">
        <v>95</v>
      </c>
      <c r="Y6" s="168"/>
      <c r="Z6" s="168" t="s">
        <v>94</v>
      </c>
      <c r="AA6" s="168" t="s">
        <v>95</v>
      </c>
      <c r="AB6" s="168"/>
      <c r="AC6" s="168" t="s">
        <v>94</v>
      </c>
      <c r="AD6" s="168" t="s">
        <v>95</v>
      </c>
      <c r="AE6" s="168"/>
      <c r="AF6" s="168" t="s">
        <v>94</v>
      </c>
      <c r="AG6" s="168" t="s">
        <v>95</v>
      </c>
      <c r="AH6" s="168"/>
      <c r="AI6" s="168" t="s">
        <v>94</v>
      </c>
      <c r="AJ6" s="168" t="s">
        <v>95</v>
      </c>
      <c r="AK6" s="168"/>
      <c r="AL6" s="168" t="s">
        <v>94</v>
      </c>
      <c r="AM6" s="341" t="s">
        <v>95</v>
      </c>
      <c r="AN6" s="342"/>
      <c r="AO6" s="343" t="s">
        <v>164</v>
      </c>
      <c r="AP6" s="344" t="s">
        <v>165</v>
      </c>
      <c r="AQ6" s="420"/>
    </row>
    <row r="7" spans="1:46" ht="31.15" customHeight="1" thickBot="1" x14ac:dyDescent="0.3">
      <c r="A7" s="182" t="s">
        <v>8</v>
      </c>
      <c r="B7" s="183" t="s">
        <v>9</v>
      </c>
      <c r="C7" s="253" t="s">
        <v>10</v>
      </c>
      <c r="D7" s="255" t="s">
        <v>11</v>
      </c>
      <c r="E7" s="345">
        <v>207160</v>
      </c>
      <c r="F7" s="346">
        <v>65808.13</v>
      </c>
      <c r="G7" s="347">
        <f>F7/E7</f>
        <v>0.31766813091330376</v>
      </c>
      <c r="H7" s="348">
        <v>350000</v>
      </c>
      <c r="I7" s="349">
        <v>278675.75</v>
      </c>
      <c r="J7" s="347">
        <f>I7/H7</f>
        <v>0.7962164285714286</v>
      </c>
      <c r="K7" s="348">
        <v>350000</v>
      </c>
      <c r="L7" s="349">
        <v>457464.21</v>
      </c>
      <c r="M7" s="347">
        <v>1</v>
      </c>
      <c r="N7" s="348">
        <v>601950</v>
      </c>
      <c r="O7" s="349">
        <v>623463.82999999996</v>
      </c>
      <c r="P7" s="347">
        <v>1</v>
      </c>
      <c r="Q7" s="348">
        <v>341000</v>
      </c>
      <c r="R7" s="349">
        <v>161100</v>
      </c>
      <c r="S7" s="347">
        <f t="shared" ref="S7:S18" si="0">R7/Q7</f>
        <v>0.4724340175953079</v>
      </c>
      <c r="T7" s="348">
        <v>341000</v>
      </c>
      <c r="U7" s="349">
        <v>413752.99</v>
      </c>
      <c r="V7" s="347">
        <v>1</v>
      </c>
      <c r="W7" s="348">
        <v>451950</v>
      </c>
      <c r="X7" s="349">
        <v>407067.74</v>
      </c>
      <c r="Y7" s="347">
        <f t="shared" ref="Y7:Y18" si="1">X7/W7</f>
        <v>0.900691979201239</v>
      </c>
      <c r="Z7" s="348">
        <v>341000</v>
      </c>
      <c r="AA7" s="349">
        <v>269731.14</v>
      </c>
      <c r="AB7" s="347">
        <f t="shared" ref="AB7:AB18" si="2">AA7/Z7</f>
        <v>0.79100041055718484</v>
      </c>
      <c r="AC7" s="348">
        <v>341000</v>
      </c>
      <c r="AD7" s="349">
        <v>355003.63</v>
      </c>
      <c r="AE7" s="347">
        <v>1</v>
      </c>
      <c r="AF7" s="348">
        <v>360400</v>
      </c>
      <c r="AG7" s="349">
        <v>450847.43</v>
      </c>
      <c r="AH7" s="347">
        <v>1</v>
      </c>
      <c r="AI7" s="348">
        <v>400000</v>
      </c>
      <c r="AJ7" s="349">
        <v>293728.2</v>
      </c>
      <c r="AK7" s="347">
        <f t="shared" ref="AK7:AK18" si="3">AJ7/AI7</f>
        <v>0.73432050000000004</v>
      </c>
      <c r="AL7" s="348">
        <v>294140</v>
      </c>
      <c r="AM7" s="349">
        <v>602953.32999999996</v>
      </c>
      <c r="AN7" s="347">
        <v>1</v>
      </c>
      <c r="AO7" s="350">
        <f>((G7+J7+M7+P7+S7+V7+AB7+AE7+AH7+AK7+AN7)/12)*100</f>
        <v>75.930329063643541</v>
      </c>
      <c r="AP7" s="351">
        <f>AO7/100</f>
        <v>0.75930329063643542</v>
      </c>
      <c r="AQ7" s="352">
        <f>AP7*5</f>
        <v>3.7965164531821771</v>
      </c>
      <c r="AS7" s="353">
        <f>E7+H7+K7+N7+Q7+T7+W7+Z7+AC7+AF7+AI7+AL7</f>
        <v>4379600</v>
      </c>
      <c r="AT7" s="353">
        <f>F7+I7+L7+O7+R7+U7+X7+AA7+AD7+AG7+AJ7+AM7</f>
        <v>4379596.38</v>
      </c>
    </row>
    <row r="8" spans="1:46" ht="26.25" thickBot="1" x14ac:dyDescent="0.3">
      <c r="A8" s="184" t="s">
        <v>15</v>
      </c>
      <c r="B8" s="185" t="s">
        <v>12</v>
      </c>
      <c r="C8" s="254" t="s">
        <v>13</v>
      </c>
      <c r="D8" s="256" t="s">
        <v>14</v>
      </c>
      <c r="E8" s="345">
        <v>24402967</v>
      </c>
      <c r="F8" s="354">
        <v>7497396</v>
      </c>
      <c r="G8" s="347">
        <f t="shared" ref="G8:G18" si="4">F8/E8</f>
        <v>0.30723296884350171</v>
      </c>
      <c r="H8" s="348">
        <v>62073018.600000001</v>
      </c>
      <c r="I8" s="349">
        <v>37349003.43</v>
      </c>
      <c r="J8" s="347">
        <f t="shared" ref="J8:J18" si="5">I8/H8</f>
        <v>0.60169465368967889</v>
      </c>
      <c r="K8" s="348">
        <v>87119601</v>
      </c>
      <c r="L8" s="349">
        <v>32711292.16</v>
      </c>
      <c r="M8" s="347">
        <f t="shared" ref="M8:M18" si="6">L8/K8</f>
        <v>0.37547568841597428</v>
      </c>
      <c r="N8" s="348">
        <v>45867338.090000004</v>
      </c>
      <c r="O8" s="349">
        <v>59633951.380000003</v>
      </c>
      <c r="P8" s="347">
        <v>1</v>
      </c>
      <c r="Q8" s="348">
        <v>48974152</v>
      </c>
      <c r="R8" s="349">
        <v>63580938.509999998</v>
      </c>
      <c r="S8" s="347">
        <v>1</v>
      </c>
      <c r="T8" s="348">
        <v>43476859.57</v>
      </c>
      <c r="U8" s="349">
        <v>44843445.850000001</v>
      </c>
      <c r="V8" s="347">
        <v>1</v>
      </c>
      <c r="W8" s="348">
        <v>54783049.740000002</v>
      </c>
      <c r="X8" s="349">
        <v>42102481.890000001</v>
      </c>
      <c r="Y8" s="347">
        <f t="shared" si="1"/>
        <v>0.76853118053518577</v>
      </c>
      <c r="Z8" s="348">
        <v>120054050.31999999</v>
      </c>
      <c r="AA8" s="349">
        <v>98939720.969999999</v>
      </c>
      <c r="AB8" s="347">
        <f t="shared" si="2"/>
        <v>0.8241264722537851</v>
      </c>
      <c r="AC8" s="348">
        <v>63402869.939999998</v>
      </c>
      <c r="AD8" s="349">
        <v>88656529.640000001</v>
      </c>
      <c r="AE8" s="347">
        <v>1</v>
      </c>
      <c r="AF8" s="348">
        <v>75492836.859999999</v>
      </c>
      <c r="AG8" s="349">
        <v>60951709.109999999</v>
      </c>
      <c r="AH8" s="347">
        <f t="shared" ref="AH8:AH12" si="7">AG8/AF8</f>
        <v>0.80738400681688194</v>
      </c>
      <c r="AI8" s="348">
        <v>53961335.659999996</v>
      </c>
      <c r="AJ8" s="349">
        <v>48154494.32</v>
      </c>
      <c r="AK8" s="347">
        <f t="shared" si="3"/>
        <v>0.89238885085076869</v>
      </c>
      <c r="AL8" s="348">
        <v>97873221.219999999</v>
      </c>
      <c r="AM8" s="349">
        <v>151917846.65000001</v>
      </c>
      <c r="AN8" s="347">
        <v>1</v>
      </c>
      <c r="AO8" s="350">
        <f t="shared" ref="AO8:AO18" si="8">((G8+J8+M8+P8+S8+V8+AB8+AE8+AH8+AK8+AN8)/12)*100</f>
        <v>73.402522007254916</v>
      </c>
      <c r="AP8" s="351">
        <f t="shared" ref="AP8:AP18" si="9">AO8/100</f>
        <v>0.73402522007254911</v>
      </c>
      <c r="AQ8" s="355">
        <f>AP8*5</f>
        <v>3.6701261003627454</v>
      </c>
      <c r="AS8" s="353">
        <f>E8+H8+K8+N8+Q8+T8+W8+Z8+AC8+AF8+AI8+AL8</f>
        <v>777481300</v>
      </c>
      <c r="AT8" s="353">
        <f t="shared" ref="AT8:AT19" si="10">F8+I8+L8+O8+R8+U8+X8+AA8+AD8+AG8+AJ8+AM8</f>
        <v>736338809.90999997</v>
      </c>
    </row>
    <row r="9" spans="1:46" ht="26.25" thickBot="1" x14ac:dyDescent="0.3">
      <c r="A9" s="184" t="s">
        <v>16</v>
      </c>
      <c r="B9" s="185" t="s">
        <v>22</v>
      </c>
      <c r="C9" s="254" t="s">
        <v>23</v>
      </c>
      <c r="D9" s="256" t="s">
        <v>24</v>
      </c>
      <c r="E9" s="356">
        <v>2201400</v>
      </c>
      <c r="F9" s="357">
        <v>2122568.14</v>
      </c>
      <c r="G9" s="347">
        <f t="shared" si="4"/>
        <v>0.96419012446624885</v>
      </c>
      <c r="H9" s="358">
        <v>1541700</v>
      </c>
      <c r="I9" s="359">
        <v>1382024.9</v>
      </c>
      <c r="J9" s="347">
        <f t="shared" si="5"/>
        <v>0.89642920153077765</v>
      </c>
      <c r="K9" s="358">
        <v>1775740</v>
      </c>
      <c r="L9" s="359">
        <v>1608133.1</v>
      </c>
      <c r="M9" s="347">
        <f t="shared" si="6"/>
        <v>0.90561292756822509</v>
      </c>
      <c r="N9" s="358">
        <v>2630750</v>
      </c>
      <c r="O9" s="359">
        <v>2977648.66</v>
      </c>
      <c r="P9" s="347">
        <v>1</v>
      </c>
      <c r="Q9" s="358">
        <v>2483775</v>
      </c>
      <c r="R9" s="359">
        <v>2299349.7999999998</v>
      </c>
      <c r="S9" s="347">
        <f t="shared" si="0"/>
        <v>0.92574802468017425</v>
      </c>
      <c r="T9" s="358">
        <v>1838360</v>
      </c>
      <c r="U9" s="359">
        <v>1541439.17</v>
      </c>
      <c r="V9" s="347">
        <f t="shared" ref="V9:V18" si="11">U9/T9</f>
        <v>0.8384860255880241</v>
      </c>
      <c r="W9" s="358">
        <v>1895175</v>
      </c>
      <c r="X9" s="359">
        <v>2189620.94</v>
      </c>
      <c r="Y9" s="347">
        <v>1</v>
      </c>
      <c r="Z9" s="358">
        <v>1798200</v>
      </c>
      <c r="AA9" s="359">
        <v>1677278.23</v>
      </c>
      <c r="AB9" s="347">
        <f t="shared" si="2"/>
        <v>0.93275399288177063</v>
      </c>
      <c r="AC9" s="358">
        <v>1838360</v>
      </c>
      <c r="AD9" s="359">
        <v>1487909.48</v>
      </c>
      <c r="AE9" s="347">
        <f t="shared" ref="AE9:AE18" si="12">AD9/AC9</f>
        <v>0.80936784960508279</v>
      </c>
      <c r="AF9" s="358">
        <v>2591920</v>
      </c>
      <c r="AG9" s="359">
        <v>2785941.66</v>
      </c>
      <c r="AH9" s="347">
        <v>1</v>
      </c>
      <c r="AI9" s="358">
        <v>2079900</v>
      </c>
      <c r="AJ9" s="359">
        <v>1381979.55</v>
      </c>
      <c r="AK9" s="347">
        <f t="shared" si="3"/>
        <v>0.66444518967258048</v>
      </c>
      <c r="AL9" s="358">
        <v>1158920</v>
      </c>
      <c r="AM9" s="359">
        <v>2380241.19</v>
      </c>
      <c r="AN9" s="347">
        <v>1</v>
      </c>
      <c r="AO9" s="350">
        <f t="shared" si="8"/>
        <v>82.808611133274027</v>
      </c>
      <c r="AP9" s="351">
        <f t="shared" si="9"/>
        <v>0.82808611133274024</v>
      </c>
      <c r="AQ9" s="355">
        <f t="shared" ref="AQ9:AQ18" si="13">AP9*5</f>
        <v>4.1404305566637012</v>
      </c>
      <c r="AS9" s="353">
        <f t="shared" ref="AS9:AS18" si="14">E9+H9+K9+N9+Q9+T9+W9+Z9+AC9+AF9+AI9+AL9</f>
        <v>23834200</v>
      </c>
      <c r="AT9" s="353">
        <f t="shared" si="10"/>
        <v>23834134.820000004</v>
      </c>
    </row>
    <row r="10" spans="1:46" ht="30" customHeight="1" thickBot="1" x14ac:dyDescent="0.3">
      <c r="A10" s="184" t="s">
        <v>17</v>
      </c>
      <c r="B10" s="185" t="s">
        <v>25</v>
      </c>
      <c r="C10" s="254" t="s">
        <v>26</v>
      </c>
      <c r="D10" s="256" t="s">
        <v>27</v>
      </c>
      <c r="E10" s="356">
        <v>803750</v>
      </c>
      <c r="F10" s="357">
        <v>85000</v>
      </c>
      <c r="G10" s="347">
        <f t="shared" si="4"/>
        <v>0.10575427682737169</v>
      </c>
      <c r="H10" s="358">
        <v>401284</v>
      </c>
      <c r="I10" s="359">
        <v>276538.40999999997</v>
      </c>
      <c r="J10" s="347">
        <f t="shared" si="5"/>
        <v>0.68913390516442219</v>
      </c>
      <c r="K10" s="358">
        <v>200641</v>
      </c>
      <c r="L10" s="359">
        <v>310000.05</v>
      </c>
      <c r="M10" s="347">
        <v>1</v>
      </c>
      <c r="N10" s="358">
        <v>200642</v>
      </c>
      <c r="O10" s="359">
        <v>585360.02</v>
      </c>
      <c r="P10" s="347">
        <v>1</v>
      </c>
      <c r="Q10" s="358"/>
      <c r="R10" s="359">
        <v>80300</v>
      </c>
      <c r="S10" s="347">
        <v>1</v>
      </c>
      <c r="T10" s="358">
        <v>275841</v>
      </c>
      <c r="U10" s="359">
        <v>338351.27</v>
      </c>
      <c r="V10" s="347">
        <v>1</v>
      </c>
      <c r="W10" s="358">
        <v>913542</v>
      </c>
      <c r="X10" s="359">
        <v>302217.24</v>
      </c>
      <c r="Y10" s="347">
        <f t="shared" si="1"/>
        <v>0.33081920699869299</v>
      </c>
      <c r="Z10" s="358">
        <v>200642</v>
      </c>
      <c r="AA10" s="359">
        <v>345559.66</v>
      </c>
      <c r="AB10" s="347">
        <v>1</v>
      </c>
      <c r="AC10" s="358">
        <v>187958</v>
      </c>
      <c r="AD10" s="359">
        <v>307812.84999999998</v>
      </c>
      <c r="AE10" s="347">
        <v>1</v>
      </c>
      <c r="AF10" s="358">
        <v>673600</v>
      </c>
      <c r="AG10" s="359">
        <v>280032.05</v>
      </c>
      <c r="AH10" s="347">
        <f t="shared" si="7"/>
        <v>0.41572453978622326</v>
      </c>
      <c r="AI10" s="358"/>
      <c r="AJ10" s="359">
        <v>263558.38</v>
      </c>
      <c r="AK10" s="347">
        <v>1</v>
      </c>
      <c r="AL10" s="358"/>
      <c r="AM10" s="359">
        <v>683110.06</v>
      </c>
      <c r="AN10" s="347">
        <v>1</v>
      </c>
      <c r="AO10" s="350">
        <f t="shared" si="8"/>
        <v>76.755106014816818</v>
      </c>
      <c r="AP10" s="351">
        <f t="shared" si="9"/>
        <v>0.76755106014816821</v>
      </c>
      <c r="AQ10" s="355">
        <f t="shared" si="13"/>
        <v>3.8377553007408411</v>
      </c>
      <c r="AS10" s="353">
        <f t="shared" si="14"/>
        <v>3857900</v>
      </c>
      <c r="AT10" s="353">
        <f t="shared" si="10"/>
        <v>3857839.9899999998</v>
      </c>
    </row>
    <row r="11" spans="1:46" ht="40.15" customHeight="1" thickBot="1" x14ac:dyDescent="0.3">
      <c r="A11" s="184" t="s">
        <v>18</v>
      </c>
      <c r="B11" s="185" t="s">
        <v>28</v>
      </c>
      <c r="C11" s="254" t="s">
        <v>29</v>
      </c>
      <c r="D11" s="256" t="s">
        <v>30</v>
      </c>
      <c r="E11" s="356">
        <v>553660</v>
      </c>
      <c r="F11" s="357">
        <v>290908</v>
      </c>
      <c r="G11" s="347">
        <f t="shared" si="4"/>
        <v>0.52542715746125779</v>
      </c>
      <c r="H11" s="358">
        <v>510225</v>
      </c>
      <c r="I11" s="359">
        <v>531312.68999999994</v>
      </c>
      <c r="J11" s="347">
        <v>1</v>
      </c>
      <c r="K11" s="358">
        <v>337000</v>
      </c>
      <c r="L11" s="359">
        <v>466490.73</v>
      </c>
      <c r="M11" s="347">
        <v>1</v>
      </c>
      <c r="N11" s="358">
        <v>699925</v>
      </c>
      <c r="O11" s="359">
        <v>769989.73</v>
      </c>
      <c r="P11" s="347">
        <v>1</v>
      </c>
      <c r="Q11" s="358">
        <v>677000</v>
      </c>
      <c r="R11" s="359">
        <v>193850.34</v>
      </c>
      <c r="S11" s="347">
        <f t="shared" si="0"/>
        <v>0.28633728212703102</v>
      </c>
      <c r="T11" s="358">
        <v>384750</v>
      </c>
      <c r="U11" s="359">
        <v>699452.9</v>
      </c>
      <c r="V11" s="347">
        <v>1</v>
      </c>
      <c r="W11" s="358">
        <v>534475</v>
      </c>
      <c r="X11" s="359">
        <v>608674.67000000004</v>
      </c>
      <c r="Y11" s="347">
        <v>1</v>
      </c>
      <c r="Z11" s="358">
        <v>652600</v>
      </c>
      <c r="AA11" s="359">
        <v>379403.02</v>
      </c>
      <c r="AB11" s="347">
        <f t="shared" si="2"/>
        <v>0.58137146797425687</v>
      </c>
      <c r="AC11" s="358">
        <v>384600</v>
      </c>
      <c r="AD11" s="359">
        <v>439050.84</v>
      </c>
      <c r="AE11" s="347">
        <v>1</v>
      </c>
      <c r="AF11" s="358">
        <v>521825</v>
      </c>
      <c r="AG11" s="359">
        <v>400705.7</v>
      </c>
      <c r="AH11" s="347">
        <f t="shared" si="7"/>
        <v>0.76789287596416422</v>
      </c>
      <c r="AI11" s="358">
        <v>672900</v>
      </c>
      <c r="AJ11" s="359">
        <v>401655.4</v>
      </c>
      <c r="AK11" s="347">
        <f t="shared" si="3"/>
        <v>0.59690206568583748</v>
      </c>
      <c r="AL11" s="358">
        <v>172240</v>
      </c>
      <c r="AM11" s="359">
        <v>912406.94</v>
      </c>
      <c r="AN11" s="347">
        <v>1</v>
      </c>
      <c r="AO11" s="350">
        <f t="shared" si="8"/>
        <v>72.982757076771236</v>
      </c>
      <c r="AP11" s="351">
        <f t="shared" si="9"/>
        <v>0.72982757076771232</v>
      </c>
      <c r="AQ11" s="355">
        <f t="shared" si="13"/>
        <v>3.6491378538385617</v>
      </c>
      <c r="AS11" s="353">
        <f t="shared" si="14"/>
        <v>6101200</v>
      </c>
      <c r="AT11" s="353">
        <f t="shared" si="10"/>
        <v>6093900.9600000009</v>
      </c>
    </row>
    <row r="12" spans="1:46" ht="42" customHeight="1" thickBot="1" x14ac:dyDescent="0.3">
      <c r="A12" s="184" t="s">
        <v>19</v>
      </c>
      <c r="B12" s="185" t="s">
        <v>31</v>
      </c>
      <c r="C12" s="254" t="s">
        <v>32</v>
      </c>
      <c r="D12" s="256" t="s">
        <v>33</v>
      </c>
      <c r="E12" s="356">
        <v>146621</v>
      </c>
      <c r="F12" s="357">
        <v>92803</v>
      </c>
      <c r="G12" s="347">
        <f t="shared" si="4"/>
        <v>0.63294480326829039</v>
      </c>
      <c r="H12" s="358">
        <v>763700</v>
      </c>
      <c r="I12" s="359">
        <v>324355.34999999998</v>
      </c>
      <c r="J12" s="347">
        <f t="shared" si="5"/>
        <v>0.42471566059971189</v>
      </c>
      <c r="K12" s="358">
        <v>381850</v>
      </c>
      <c r="L12" s="359">
        <v>383569.73</v>
      </c>
      <c r="M12" s="347">
        <f t="shared" si="6"/>
        <v>1.0045036794552835</v>
      </c>
      <c r="N12" s="358">
        <v>381850</v>
      </c>
      <c r="O12" s="359">
        <v>488175.42</v>
      </c>
      <c r="P12" s="347">
        <v>1</v>
      </c>
      <c r="Q12" s="358"/>
      <c r="R12" s="359">
        <v>113200</v>
      </c>
      <c r="S12" s="347">
        <v>1</v>
      </c>
      <c r="T12" s="358">
        <v>381850</v>
      </c>
      <c r="U12" s="359">
        <v>287683.48</v>
      </c>
      <c r="V12" s="347">
        <f t="shared" si="11"/>
        <v>0.75339395050412461</v>
      </c>
      <c r="W12" s="358">
        <v>381850</v>
      </c>
      <c r="X12" s="359">
        <v>376172.22</v>
      </c>
      <c r="Y12" s="347">
        <f t="shared" si="1"/>
        <v>0.98513086290428176</v>
      </c>
      <c r="Z12" s="358">
        <v>381850</v>
      </c>
      <c r="AA12" s="359">
        <v>330755.74</v>
      </c>
      <c r="AB12" s="347">
        <f t="shared" si="2"/>
        <v>0.86619285059578366</v>
      </c>
      <c r="AC12" s="358">
        <v>381850</v>
      </c>
      <c r="AD12" s="359">
        <v>379984.57</v>
      </c>
      <c r="AE12" s="347">
        <f t="shared" si="12"/>
        <v>0.99511475710357467</v>
      </c>
      <c r="AF12" s="358">
        <v>381850</v>
      </c>
      <c r="AG12" s="359">
        <v>320252.61</v>
      </c>
      <c r="AH12" s="347">
        <f t="shared" si="7"/>
        <v>0.83868694513552433</v>
      </c>
      <c r="AI12" s="358">
        <v>319900</v>
      </c>
      <c r="AJ12" s="359">
        <v>316510.84000000003</v>
      </c>
      <c r="AK12" s="347">
        <f t="shared" si="3"/>
        <v>0.98940556423882475</v>
      </c>
      <c r="AL12" s="358">
        <v>179229</v>
      </c>
      <c r="AM12" s="359">
        <v>668937.04</v>
      </c>
      <c r="AN12" s="347">
        <v>1</v>
      </c>
      <c r="AO12" s="350">
        <f t="shared" si="8"/>
        <v>79.207985090842641</v>
      </c>
      <c r="AP12" s="351">
        <f t="shared" si="9"/>
        <v>0.79207985090842636</v>
      </c>
      <c r="AQ12" s="355">
        <f t="shared" si="13"/>
        <v>3.960399254542132</v>
      </c>
      <c r="AS12" s="353">
        <f t="shared" si="14"/>
        <v>4082400</v>
      </c>
      <c r="AT12" s="353">
        <f t="shared" si="10"/>
        <v>4082399.9999999995</v>
      </c>
    </row>
    <row r="13" spans="1:46" ht="16.5" thickBot="1" x14ac:dyDescent="0.3">
      <c r="A13" s="184" t="s">
        <v>20</v>
      </c>
      <c r="B13" s="185" t="s">
        <v>34</v>
      </c>
      <c r="C13" s="254" t="s">
        <v>35</v>
      </c>
      <c r="D13" s="256" t="s">
        <v>36</v>
      </c>
      <c r="E13" s="356">
        <v>611783</v>
      </c>
      <c r="F13" s="357">
        <v>381434.75</v>
      </c>
      <c r="G13" s="347">
        <f t="shared" si="4"/>
        <v>0.62348046611298447</v>
      </c>
      <c r="H13" s="358">
        <v>3800457</v>
      </c>
      <c r="I13" s="359">
        <v>1097156.8500000001</v>
      </c>
      <c r="J13" s="347">
        <f t="shared" si="5"/>
        <v>0.28869076797869309</v>
      </c>
      <c r="K13" s="358">
        <v>6306479.4199999999</v>
      </c>
      <c r="L13" s="359">
        <v>2080575.99</v>
      </c>
      <c r="M13" s="347">
        <f t="shared" si="6"/>
        <v>0.32991085064065745</v>
      </c>
      <c r="N13" s="358">
        <v>2574384.14</v>
      </c>
      <c r="O13" s="359">
        <v>2746380.97</v>
      </c>
      <c r="P13" s="347">
        <v>1</v>
      </c>
      <c r="Q13" s="358">
        <v>3011391</v>
      </c>
      <c r="R13" s="359">
        <v>881581.75</v>
      </c>
      <c r="S13" s="347">
        <f t="shared" si="0"/>
        <v>0.29274901532215514</v>
      </c>
      <c r="T13" s="358">
        <v>5905235</v>
      </c>
      <c r="U13" s="359">
        <v>1656973.64</v>
      </c>
      <c r="V13" s="347">
        <f t="shared" si="11"/>
        <v>0.28059402208379514</v>
      </c>
      <c r="W13" s="358">
        <v>4269920</v>
      </c>
      <c r="X13" s="359">
        <v>1709720.9</v>
      </c>
      <c r="Y13" s="347">
        <f t="shared" si="1"/>
        <v>0.40041052291377821</v>
      </c>
      <c r="Z13" s="358">
        <v>3295494.44</v>
      </c>
      <c r="AA13" s="359">
        <v>2397163.5099999998</v>
      </c>
      <c r="AB13" s="347">
        <f t="shared" si="2"/>
        <v>0.727406328138123</v>
      </c>
      <c r="AC13" s="358">
        <v>1945142</v>
      </c>
      <c r="AD13" s="359">
        <v>1970180.44</v>
      </c>
      <c r="AE13" s="347">
        <v>1</v>
      </c>
      <c r="AF13" s="358">
        <v>2540832</v>
      </c>
      <c r="AG13" s="359">
        <v>3503185.9199999999</v>
      </c>
      <c r="AH13" s="347">
        <v>1</v>
      </c>
      <c r="AI13" s="358">
        <v>2032554</v>
      </c>
      <c r="AJ13" s="359">
        <v>1691267.84</v>
      </c>
      <c r="AK13" s="347">
        <f t="shared" si="3"/>
        <v>0.83208999121302563</v>
      </c>
      <c r="AL13" s="358">
        <v>13363528</v>
      </c>
      <c r="AM13" s="359">
        <v>8310606.2800000003</v>
      </c>
      <c r="AN13" s="347">
        <f t="shared" ref="AN13" si="15">AM13/AL13</f>
        <v>0.62188714537059375</v>
      </c>
      <c r="AO13" s="350">
        <f t="shared" si="8"/>
        <v>58.306738223833555</v>
      </c>
      <c r="AP13" s="351">
        <f t="shared" si="9"/>
        <v>0.58306738223833554</v>
      </c>
      <c r="AQ13" s="355">
        <f t="shared" si="13"/>
        <v>2.9153369111916776</v>
      </c>
      <c r="AS13" s="353">
        <f t="shared" si="14"/>
        <v>49657200</v>
      </c>
      <c r="AT13" s="353">
        <f t="shared" si="10"/>
        <v>28426228.84</v>
      </c>
    </row>
    <row r="14" spans="1:46" ht="16.899999999999999" customHeight="1" thickBot="1" x14ac:dyDescent="0.3">
      <c r="A14" s="184" t="s">
        <v>21</v>
      </c>
      <c r="B14" s="185" t="s">
        <v>40</v>
      </c>
      <c r="C14" s="254" t="s">
        <v>38</v>
      </c>
      <c r="D14" s="256" t="s">
        <v>39</v>
      </c>
      <c r="E14" s="356">
        <v>142089331</v>
      </c>
      <c r="F14" s="357">
        <v>42484778.520000003</v>
      </c>
      <c r="G14" s="347">
        <f t="shared" si="4"/>
        <v>0.29900048245001593</v>
      </c>
      <c r="H14" s="358">
        <v>154632901</v>
      </c>
      <c r="I14" s="359">
        <v>161653235.38999999</v>
      </c>
      <c r="J14" s="347">
        <v>1</v>
      </c>
      <c r="K14" s="358">
        <v>155545489</v>
      </c>
      <c r="L14" s="359">
        <v>165616204.19999999</v>
      </c>
      <c r="M14" s="347">
        <v>1</v>
      </c>
      <c r="N14" s="358">
        <v>191970956.94</v>
      </c>
      <c r="O14" s="359">
        <v>244403479.69999999</v>
      </c>
      <c r="P14" s="347">
        <v>1</v>
      </c>
      <c r="Q14" s="358">
        <v>185914025</v>
      </c>
      <c r="R14" s="359">
        <v>86068527.650000006</v>
      </c>
      <c r="S14" s="347">
        <f t="shared" si="0"/>
        <v>0.46294800862925756</v>
      </c>
      <c r="T14" s="358">
        <v>170554524</v>
      </c>
      <c r="U14" s="359">
        <v>210471640.58000001</v>
      </c>
      <c r="V14" s="347">
        <v>1</v>
      </c>
      <c r="W14" s="358">
        <v>115931180</v>
      </c>
      <c r="X14" s="359">
        <v>126905852.31</v>
      </c>
      <c r="Y14" s="347">
        <v>1</v>
      </c>
      <c r="Z14" s="358">
        <v>137534301</v>
      </c>
      <c r="AA14" s="359">
        <v>117027208.26000001</v>
      </c>
      <c r="AB14" s="347">
        <f t="shared" si="2"/>
        <v>0.85089470342383899</v>
      </c>
      <c r="AC14" s="358">
        <v>202172979.96000001</v>
      </c>
      <c r="AD14" s="359">
        <v>187883562.91999999</v>
      </c>
      <c r="AE14" s="347">
        <f t="shared" si="12"/>
        <v>0.92932083682583499</v>
      </c>
      <c r="AF14" s="358">
        <v>121777592</v>
      </c>
      <c r="AG14" s="359">
        <v>129791242.8</v>
      </c>
      <c r="AH14" s="347">
        <v>1</v>
      </c>
      <c r="AI14" s="358">
        <v>87091880.980000004</v>
      </c>
      <c r="AJ14" s="359">
        <v>113902097.33</v>
      </c>
      <c r="AK14" s="347">
        <v>1</v>
      </c>
      <c r="AL14" s="358">
        <v>125238055.06</v>
      </c>
      <c r="AM14" s="359">
        <v>173719169.65000001</v>
      </c>
      <c r="AN14" s="347">
        <v>1</v>
      </c>
      <c r="AO14" s="350">
        <f t="shared" si="8"/>
        <v>79.518033594407896</v>
      </c>
      <c r="AP14" s="351">
        <f t="shared" si="9"/>
        <v>0.795180335944079</v>
      </c>
      <c r="AQ14" s="355">
        <f>AP14*5</f>
        <v>3.975901679720395</v>
      </c>
      <c r="AS14" s="353">
        <f t="shared" si="14"/>
        <v>1790453215.9400001</v>
      </c>
      <c r="AT14" s="353">
        <f t="shared" si="10"/>
        <v>1759926999.3099999</v>
      </c>
    </row>
    <row r="15" spans="1:46" ht="16.5" thickBot="1" x14ac:dyDescent="0.3">
      <c r="A15" s="186">
        <v>9</v>
      </c>
      <c r="B15" s="185" t="s">
        <v>41</v>
      </c>
      <c r="C15" s="254" t="s">
        <v>42</v>
      </c>
      <c r="D15" s="256" t="s">
        <v>43</v>
      </c>
      <c r="E15" s="356">
        <v>4344480</v>
      </c>
      <c r="F15" s="357">
        <v>2186591.9900000002</v>
      </c>
      <c r="G15" s="347">
        <f t="shared" si="4"/>
        <v>0.50330350007365676</v>
      </c>
      <c r="H15" s="358">
        <v>9804200</v>
      </c>
      <c r="I15" s="359">
        <v>8697479.8699999992</v>
      </c>
      <c r="J15" s="347">
        <f t="shared" si="5"/>
        <v>0.88711775259582615</v>
      </c>
      <c r="K15" s="358">
        <v>12213000</v>
      </c>
      <c r="L15" s="359">
        <v>15324381.189999999</v>
      </c>
      <c r="M15" s="347">
        <v>1</v>
      </c>
      <c r="N15" s="358">
        <v>11012000</v>
      </c>
      <c r="O15" s="359">
        <v>10404127.710000001</v>
      </c>
      <c r="P15" s="347">
        <f t="shared" ref="P15:P18" si="16">O15/N15</f>
        <v>0.94479910188884864</v>
      </c>
      <c r="Q15" s="358">
        <v>9317000</v>
      </c>
      <c r="R15" s="359">
        <v>3420931.59</v>
      </c>
      <c r="S15" s="347">
        <f t="shared" si="0"/>
        <v>0.3671709337769668</v>
      </c>
      <c r="T15" s="358">
        <v>14299800</v>
      </c>
      <c r="U15" s="359">
        <v>18789306.469999999</v>
      </c>
      <c r="V15" s="347">
        <v>1</v>
      </c>
      <c r="W15" s="358">
        <v>12403100</v>
      </c>
      <c r="X15" s="359">
        <v>5416809.7599999998</v>
      </c>
      <c r="Y15" s="347">
        <f t="shared" si="1"/>
        <v>0.43673031419564462</v>
      </c>
      <c r="Z15" s="358">
        <v>8813500</v>
      </c>
      <c r="AA15" s="359">
        <v>7060313.8300000001</v>
      </c>
      <c r="AB15" s="347">
        <f t="shared" si="2"/>
        <v>0.8010794610540648</v>
      </c>
      <c r="AC15" s="358">
        <v>8838400</v>
      </c>
      <c r="AD15" s="359">
        <v>8426650.1899999995</v>
      </c>
      <c r="AE15" s="347">
        <f t="shared" si="12"/>
        <v>0.95341353525524974</v>
      </c>
      <c r="AF15" s="358">
        <v>9042200</v>
      </c>
      <c r="AG15" s="359">
        <v>9861442.5800000001</v>
      </c>
      <c r="AH15" s="347">
        <v>1</v>
      </c>
      <c r="AI15" s="358">
        <v>8232000</v>
      </c>
      <c r="AJ15" s="359">
        <v>9978835.0899999999</v>
      </c>
      <c r="AK15" s="347">
        <v>1</v>
      </c>
      <c r="AL15" s="358">
        <v>10972020</v>
      </c>
      <c r="AM15" s="359">
        <v>19704588.809999999</v>
      </c>
      <c r="AN15" s="347">
        <v>1</v>
      </c>
      <c r="AO15" s="350">
        <f t="shared" si="8"/>
        <v>78.807369038705104</v>
      </c>
      <c r="AP15" s="351">
        <f t="shared" si="9"/>
        <v>0.788073690387051</v>
      </c>
      <c r="AQ15" s="355">
        <f t="shared" si="13"/>
        <v>3.9403684519352549</v>
      </c>
      <c r="AS15" s="353">
        <f t="shared" si="14"/>
        <v>119291700</v>
      </c>
      <c r="AT15" s="353">
        <f t="shared" si="10"/>
        <v>119271459.08</v>
      </c>
    </row>
    <row r="16" spans="1:46" ht="26.25" thickBot="1" x14ac:dyDescent="0.3">
      <c r="A16" s="186">
        <v>10</v>
      </c>
      <c r="B16" s="185" t="s">
        <v>44</v>
      </c>
      <c r="C16" s="254" t="s">
        <v>45</v>
      </c>
      <c r="D16" s="256" t="s">
        <v>46</v>
      </c>
      <c r="E16" s="356">
        <v>1669680</v>
      </c>
      <c r="F16" s="357">
        <v>1497309.47</v>
      </c>
      <c r="G16" s="347">
        <f t="shared" si="4"/>
        <v>0.89676433208758566</v>
      </c>
      <c r="H16" s="358">
        <v>2069680</v>
      </c>
      <c r="I16" s="359">
        <v>2010855.34</v>
      </c>
      <c r="J16" s="347">
        <f t="shared" si="5"/>
        <v>0.97157789609988021</v>
      </c>
      <c r="K16" s="358">
        <v>1494800</v>
      </c>
      <c r="L16" s="359">
        <v>1666638.21</v>
      </c>
      <c r="M16" s="347">
        <v>1</v>
      </c>
      <c r="N16" s="358">
        <v>5306610</v>
      </c>
      <c r="O16" s="359">
        <v>4288045.3099999996</v>
      </c>
      <c r="P16" s="347">
        <f t="shared" si="16"/>
        <v>0.80805736807491024</v>
      </c>
      <c r="Q16" s="358">
        <v>2087100</v>
      </c>
      <c r="R16" s="359">
        <v>1697559.74</v>
      </c>
      <c r="S16" s="347">
        <f t="shared" si="0"/>
        <v>0.81335812371232807</v>
      </c>
      <c r="T16" s="358">
        <v>2118300</v>
      </c>
      <c r="U16" s="359">
        <v>902295.56</v>
      </c>
      <c r="V16" s="347">
        <f t="shared" si="11"/>
        <v>0.42595267903507533</v>
      </c>
      <c r="W16" s="358">
        <v>2087100</v>
      </c>
      <c r="X16" s="359">
        <v>2081239.61</v>
      </c>
      <c r="Y16" s="347">
        <f t="shared" si="1"/>
        <v>0.99719208950218008</v>
      </c>
      <c r="Z16" s="358">
        <v>2021950</v>
      </c>
      <c r="AA16" s="359">
        <v>2164579.67</v>
      </c>
      <c r="AB16" s="347">
        <v>1</v>
      </c>
      <c r="AC16" s="358">
        <v>1868450</v>
      </c>
      <c r="AD16" s="359">
        <v>1265563.81</v>
      </c>
      <c r="AE16" s="347">
        <f t="shared" si="12"/>
        <v>0.67733351708635503</v>
      </c>
      <c r="AF16" s="358">
        <v>2471300</v>
      </c>
      <c r="AG16" s="359">
        <v>2998349.82</v>
      </c>
      <c r="AH16" s="347">
        <v>1</v>
      </c>
      <c r="AI16" s="358">
        <v>1237637.26</v>
      </c>
      <c r="AJ16" s="359">
        <v>1610202.2</v>
      </c>
      <c r="AK16" s="347">
        <v>1</v>
      </c>
      <c r="AL16" s="358">
        <v>95292.74</v>
      </c>
      <c r="AM16" s="359">
        <v>2345159.65</v>
      </c>
      <c r="AN16" s="347">
        <v>1</v>
      </c>
      <c r="AO16" s="350">
        <f t="shared" si="8"/>
        <v>79.942032634134463</v>
      </c>
      <c r="AP16" s="351">
        <f t="shared" si="9"/>
        <v>0.79942032634134463</v>
      </c>
      <c r="AQ16" s="355">
        <f t="shared" si="13"/>
        <v>3.9971016317067232</v>
      </c>
      <c r="AS16" s="353">
        <f t="shared" si="14"/>
        <v>24527900</v>
      </c>
      <c r="AT16" s="353">
        <f t="shared" si="10"/>
        <v>24527798.389999997</v>
      </c>
    </row>
    <row r="17" spans="1:46" ht="18" customHeight="1" thickBot="1" x14ac:dyDescent="0.3">
      <c r="A17" s="186">
        <v>11</v>
      </c>
      <c r="B17" s="185" t="s">
        <v>47</v>
      </c>
      <c r="C17" s="254" t="s">
        <v>48</v>
      </c>
      <c r="D17" s="256" t="s">
        <v>49</v>
      </c>
      <c r="E17" s="356">
        <v>869700</v>
      </c>
      <c r="F17" s="357">
        <v>290640.46000000002</v>
      </c>
      <c r="G17" s="347">
        <f t="shared" si="4"/>
        <v>0.33418473036679319</v>
      </c>
      <c r="H17" s="358">
        <v>499700</v>
      </c>
      <c r="I17" s="359">
        <v>986597.65</v>
      </c>
      <c r="J17" s="347">
        <v>1</v>
      </c>
      <c r="K17" s="358">
        <v>1099640</v>
      </c>
      <c r="L17" s="359">
        <v>1185464.1499999999</v>
      </c>
      <c r="M17" s="347">
        <v>1</v>
      </c>
      <c r="N17" s="358">
        <v>3234620</v>
      </c>
      <c r="O17" s="359">
        <v>1606219.68</v>
      </c>
      <c r="P17" s="347">
        <f t="shared" si="16"/>
        <v>0.49657136850696526</v>
      </c>
      <c r="Q17" s="358">
        <v>1077100</v>
      </c>
      <c r="R17" s="359">
        <v>448009.55</v>
      </c>
      <c r="S17" s="347">
        <f t="shared" si="0"/>
        <v>0.41594053476928788</v>
      </c>
      <c r="T17" s="358">
        <v>1587100</v>
      </c>
      <c r="U17" s="359">
        <v>1502337.73</v>
      </c>
      <c r="V17" s="347">
        <f t="shared" si="11"/>
        <v>0.94659298720937557</v>
      </c>
      <c r="W17" s="358">
        <v>957100</v>
      </c>
      <c r="X17" s="359">
        <v>1587293.6</v>
      </c>
      <c r="Y17" s="347">
        <v>1</v>
      </c>
      <c r="Z17" s="358">
        <v>1087100</v>
      </c>
      <c r="AA17" s="359">
        <v>998220.74</v>
      </c>
      <c r="AB17" s="347">
        <f t="shared" si="2"/>
        <v>0.91824187287278081</v>
      </c>
      <c r="AC17" s="358">
        <v>2064970</v>
      </c>
      <c r="AD17" s="359">
        <v>1414719.08</v>
      </c>
      <c r="AE17" s="347">
        <f t="shared" si="12"/>
        <v>0.68510393855600815</v>
      </c>
      <c r="AF17" s="358">
        <v>1378280</v>
      </c>
      <c r="AG17" s="359">
        <v>1411581.73</v>
      </c>
      <c r="AH17" s="347">
        <v>1</v>
      </c>
      <c r="AI17" s="358">
        <v>214010</v>
      </c>
      <c r="AJ17" s="359">
        <v>1109543.2</v>
      </c>
      <c r="AK17" s="347">
        <v>1</v>
      </c>
      <c r="AL17" s="358">
        <v>368680</v>
      </c>
      <c r="AM17" s="359">
        <v>1888923.7</v>
      </c>
      <c r="AN17" s="347">
        <v>1</v>
      </c>
      <c r="AO17" s="350">
        <f t="shared" si="8"/>
        <v>73.305295269010088</v>
      </c>
      <c r="AP17" s="351">
        <f t="shared" si="9"/>
        <v>0.73305295269010085</v>
      </c>
      <c r="AQ17" s="355">
        <f t="shared" si="13"/>
        <v>3.6652647634505042</v>
      </c>
      <c r="AS17" s="353">
        <f t="shared" si="14"/>
        <v>14438000</v>
      </c>
      <c r="AT17" s="353">
        <f t="shared" si="10"/>
        <v>14429551.269999998</v>
      </c>
    </row>
    <row r="18" spans="1:46" ht="32.450000000000003" customHeight="1" thickBot="1" x14ac:dyDescent="0.3">
      <c r="A18" s="184" t="s">
        <v>37</v>
      </c>
      <c r="B18" s="185" t="s">
        <v>50</v>
      </c>
      <c r="C18" s="254" t="s">
        <v>51</v>
      </c>
      <c r="D18" s="256" t="s">
        <v>52</v>
      </c>
      <c r="E18" s="360">
        <v>8951420</v>
      </c>
      <c r="F18" s="361">
        <v>8042620.6799999997</v>
      </c>
      <c r="G18" s="347">
        <f t="shared" si="4"/>
        <v>0.89847428452692424</v>
      </c>
      <c r="H18" s="362">
        <v>8745500</v>
      </c>
      <c r="I18" s="363">
        <v>8733015.3300000001</v>
      </c>
      <c r="J18" s="347">
        <f t="shared" si="5"/>
        <v>0.99857244640100629</v>
      </c>
      <c r="K18" s="364">
        <v>8804800</v>
      </c>
      <c r="L18" s="363">
        <v>8733231.8900000006</v>
      </c>
      <c r="M18" s="347">
        <f t="shared" si="6"/>
        <v>0.9918716938488098</v>
      </c>
      <c r="N18" s="364">
        <v>8762925</v>
      </c>
      <c r="O18" s="363">
        <v>8668113.2300000004</v>
      </c>
      <c r="P18" s="347">
        <f t="shared" si="16"/>
        <v>0.989180351309637</v>
      </c>
      <c r="Q18" s="364">
        <v>8160200</v>
      </c>
      <c r="R18" s="363">
        <v>7836219.3600000003</v>
      </c>
      <c r="S18" s="347">
        <f t="shared" si="0"/>
        <v>0.96029746329746823</v>
      </c>
      <c r="T18" s="364">
        <v>8621700</v>
      </c>
      <c r="U18" s="363">
        <v>8172301.21</v>
      </c>
      <c r="V18" s="347">
        <f t="shared" si="11"/>
        <v>0.94787584931046076</v>
      </c>
      <c r="W18" s="364">
        <v>8967025</v>
      </c>
      <c r="X18" s="363">
        <v>8214477.5300000003</v>
      </c>
      <c r="Y18" s="347">
        <f t="shared" si="1"/>
        <v>0.91607612669753902</v>
      </c>
      <c r="Z18" s="364">
        <v>8243900</v>
      </c>
      <c r="AA18" s="363">
        <v>7976947.8099999996</v>
      </c>
      <c r="AB18" s="347">
        <f t="shared" si="2"/>
        <v>0.96761821589296326</v>
      </c>
      <c r="AC18" s="364">
        <v>8026630</v>
      </c>
      <c r="AD18" s="363">
        <v>7799268.1900000004</v>
      </c>
      <c r="AE18" s="347">
        <f t="shared" si="12"/>
        <v>0.97167406371042397</v>
      </c>
      <c r="AF18" s="364">
        <v>7867000</v>
      </c>
      <c r="AG18" s="363">
        <v>8118025.1699999999</v>
      </c>
      <c r="AH18" s="347">
        <v>1</v>
      </c>
      <c r="AI18" s="364">
        <v>11480000</v>
      </c>
      <c r="AJ18" s="363">
        <v>8051732.5899999999</v>
      </c>
      <c r="AK18" s="347">
        <f t="shared" si="3"/>
        <v>0.70137043466898952</v>
      </c>
      <c r="AL18" s="364">
        <v>5417600</v>
      </c>
      <c r="AM18" s="363">
        <v>9697589.4900000002</v>
      </c>
      <c r="AN18" s="347">
        <v>1</v>
      </c>
      <c r="AO18" s="350">
        <f t="shared" si="8"/>
        <v>86.891123358055694</v>
      </c>
      <c r="AP18" s="351">
        <f t="shared" si="9"/>
        <v>0.86891123358055689</v>
      </c>
      <c r="AQ18" s="355">
        <f t="shared" si="13"/>
        <v>4.344556167902784</v>
      </c>
      <c r="AS18" s="353">
        <f t="shared" si="14"/>
        <v>102048700</v>
      </c>
      <c r="AT18" s="353">
        <f t="shared" si="10"/>
        <v>100043542.48</v>
      </c>
    </row>
    <row r="19" spans="1:46" ht="15.75" x14ac:dyDescent="0.25">
      <c r="A19" s="399" t="s">
        <v>58</v>
      </c>
      <c r="B19" s="400"/>
      <c r="C19" s="400"/>
      <c r="D19" s="401"/>
      <c r="E19" s="269">
        <f>E7+E8+E9+E10+E11+E12+E13+E14+E15+E16+E17+E18</f>
        <v>186851952</v>
      </c>
      <c r="F19" s="270">
        <f t="shared" ref="F19:AQ19" si="17">F7+F8+F9+F10+F11+F12+F13+F14+F15+F16+F17+F18</f>
        <v>65037859.140000008</v>
      </c>
      <c r="G19" s="271"/>
      <c r="H19" s="272">
        <f t="shared" si="17"/>
        <v>245192365.59999999</v>
      </c>
      <c r="I19" s="273">
        <f t="shared" si="17"/>
        <v>223320250.96000001</v>
      </c>
      <c r="J19" s="274"/>
      <c r="K19" s="272">
        <f t="shared" si="17"/>
        <v>275629040.42000002</v>
      </c>
      <c r="L19" s="273">
        <f t="shared" si="17"/>
        <v>230543445.61000001</v>
      </c>
      <c r="M19" s="274"/>
      <c r="N19" s="272">
        <f t="shared" si="17"/>
        <v>273243951.17000002</v>
      </c>
      <c r="O19" s="370">
        <f t="shared" si="17"/>
        <v>337194955.63999999</v>
      </c>
      <c r="P19" s="274"/>
      <c r="Q19" s="272">
        <f t="shared" si="17"/>
        <v>262042743</v>
      </c>
      <c r="R19" s="273">
        <f t="shared" si="17"/>
        <v>166781568.29000005</v>
      </c>
      <c r="S19" s="274"/>
      <c r="T19" s="272">
        <f t="shared" si="17"/>
        <v>249785319.56999999</v>
      </c>
      <c r="U19" s="273">
        <f t="shared" si="17"/>
        <v>289618980.85000002</v>
      </c>
      <c r="V19" s="274"/>
      <c r="W19" s="272">
        <f t="shared" si="17"/>
        <v>203575466.74000001</v>
      </c>
      <c r="X19" s="370">
        <f t="shared" si="17"/>
        <v>191901628.41</v>
      </c>
      <c r="Y19" s="274"/>
      <c r="Z19" s="272">
        <f t="shared" si="17"/>
        <v>284424587.75999999</v>
      </c>
      <c r="AA19" s="273">
        <f t="shared" si="17"/>
        <v>239566882.58000001</v>
      </c>
      <c r="AB19" s="274"/>
      <c r="AC19" s="272">
        <f t="shared" si="17"/>
        <v>291453209.89999998</v>
      </c>
      <c r="AD19" s="273">
        <f t="shared" si="17"/>
        <v>300386235.63999999</v>
      </c>
      <c r="AE19" s="274"/>
      <c r="AF19" s="272">
        <f t="shared" si="17"/>
        <v>225099635.86000001</v>
      </c>
      <c r="AG19" s="273">
        <f t="shared" si="17"/>
        <v>220873316.57999998</v>
      </c>
      <c r="AH19" s="274"/>
      <c r="AI19" s="272">
        <f t="shared" si="17"/>
        <v>167722117.89999998</v>
      </c>
      <c r="AJ19" s="273">
        <f t="shared" si="17"/>
        <v>187155604.94</v>
      </c>
      <c r="AK19" s="274"/>
      <c r="AL19" s="368">
        <f t="shared" si="17"/>
        <v>255132926.02000001</v>
      </c>
      <c r="AM19" s="273">
        <f t="shared" si="17"/>
        <v>372831532.78999996</v>
      </c>
      <c r="AN19" s="273"/>
      <c r="AO19" s="275"/>
      <c r="AP19" s="275">
        <f t="shared" si="17"/>
        <v>9.1785790250474992</v>
      </c>
      <c r="AQ19" s="275">
        <f t="shared" si="17"/>
        <v>45.892895125237501</v>
      </c>
      <c r="AS19" s="353">
        <f>E19+H19+K19+N19+Q19+T19+W19+Z19+AC19+AF19+AI19+AL19</f>
        <v>2920153315.9400001</v>
      </c>
      <c r="AT19" s="353">
        <f t="shared" si="10"/>
        <v>2825212261.4300003</v>
      </c>
    </row>
    <row r="20" spans="1:46" ht="15.75" x14ac:dyDescent="0.25">
      <c r="A20" s="402" t="s">
        <v>188</v>
      </c>
      <c r="B20" s="403"/>
      <c r="C20" s="403"/>
      <c r="D20" s="404"/>
      <c r="E20" s="267"/>
      <c r="F20" s="267"/>
      <c r="G20" s="267"/>
      <c r="H20" s="267"/>
      <c r="I20" s="267"/>
      <c r="J20" s="267"/>
      <c r="K20" s="267"/>
      <c r="L20" s="267"/>
      <c r="M20" s="267"/>
      <c r="N20" s="267"/>
      <c r="O20" s="267"/>
      <c r="P20" s="267"/>
      <c r="Q20" s="267"/>
      <c r="R20" s="267"/>
      <c r="S20" s="267"/>
      <c r="T20" s="267"/>
      <c r="U20" s="267"/>
      <c r="V20" s="267"/>
      <c r="W20" s="267"/>
      <c r="X20" s="267"/>
      <c r="Y20" s="267"/>
      <c r="Z20" s="267"/>
      <c r="AA20" s="267"/>
      <c r="AB20" s="267"/>
      <c r="AC20" s="267"/>
      <c r="AD20" s="267"/>
      <c r="AE20" s="267"/>
      <c r="AF20" s="267"/>
      <c r="AG20" s="267"/>
      <c r="AH20" s="267"/>
      <c r="AI20" s="267"/>
      <c r="AJ20" s="267"/>
      <c r="AK20" s="267"/>
      <c r="AL20" s="267"/>
      <c r="AM20" s="267"/>
      <c r="AN20" s="267"/>
      <c r="AO20" s="267"/>
      <c r="AP20" s="365">
        <f>AP19/12</f>
        <v>0.7648815854206249</v>
      </c>
      <c r="AQ20" s="366">
        <f>AQ19/12</f>
        <v>3.8244079271031253</v>
      </c>
    </row>
    <row r="21" spans="1:46" ht="15.6" x14ac:dyDescent="0.3">
      <c r="A21" s="15"/>
      <c r="B21" s="15"/>
      <c r="C21" s="15"/>
      <c r="D21" s="15"/>
      <c r="E21" s="16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367"/>
      <c r="AP21" s="367"/>
      <c r="AQ21" s="367"/>
    </row>
    <row r="22" spans="1:46" ht="15.6" x14ac:dyDescent="0.3">
      <c r="A22" s="15"/>
      <c r="B22" s="15"/>
      <c r="C22" s="15"/>
      <c r="D22" s="15"/>
      <c r="E22" s="39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</row>
    <row r="23" spans="1:46" ht="15.75" x14ac:dyDescent="0.25">
      <c r="A23" s="421" t="s">
        <v>213</v>
      </c>
      <c r="B23" s="421"/>
      <c r="C23" s="421"/>
      <c r="D23" s="421"/>
      <c r="E23" s="421"/>
      <c r="F23" s="421"/>
      <c r="G23" s="421"/>
      <c r="H23" s="421"/>
      <c r="I23" s="421"/>
      <c r="J23" s="421"/>
      <c r="K23" s="421"/>
      <c r="L23" s="421"/>
      <c r="M23" s="421"/>
      <c r="N23" s="421"/>
      <c r="O23" s="421"/>
      <c r="P23" s="421"/>
      <c r="Q23" s="421"/>
      <c r="R23" s="421"/>
      <c r="S23" s="421"/>
      <c r="T23" s="421"/>
      <c r="U23" s="421"/>
      <c r="V23" s="421"/>
      <c r="W23" s="421"/>
      <c r="X23" s="421"/>
      <c r="Y23" s="421"/>
      <c r="Z23" s="421"/>
      <c r="AA23" s="421"/>
      <c r="AB23" s="421"/>
      <c r="AC23" s="421"/>
      <c r="AD23" s="421"/>
      <c r="AE23" s="421"/>
      <c r="AF23" s="421"/>
      <c r="AG23" s="421"/>
      <c r="AH23" s="421"/>
      <c r="AI23" s="421"/>
      <c r="AJ23" s="421"/>
      <c r="AK23" s="421"/>
      <c r="AL23" s="421"/>
      <c r="AM23" s="421"/>
      <c r="AN23" s="421"/>
      <c r="AO23" s="421"/>
      <c r="AP23" s="421"/>
      <c r="AQ23" s="421"/>
    </row>
    <row r="24" spans="1:46" ht="15.75" x14ac:dyDescent="0.25">
      <c r="A24" s="422"/>
      <c r="B24" s="423"/>
      <c r="C24" s="42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</row>
  </sheetData>
  <mergeCells count="26">
    <mergeCell ref="A2:AQ2"/>
    <mergeCell ref="E3:F3"/>
    <mergeCell ref="AQ4:AQ6"/>
    <mergeCell ref="A23:AQ23"/>
    <mergeCell ref="A24:C24"/>
    <mergeCell ref="D4:D6"/>
    <mergeCell ref="C4:C6"/>
    <mergeCell ref="B4:B6"/>
    <mergeCell ref="A4:A6"/>
    <mergeCell ref="E5:G5"/>
    <mergeCell ref="H5:J5"/>
    <mergeCell ref="K5:M5"/>
    <mergeCell ref="N5:P5"/>
    <mergeCell ref="Q5:S5"/>
    <mergeCell ref="T5:V5"/>
    <mergeCell ref="W5:Y5"/>
    <mergeCell ref="A19:D19"/>
    <mergeCell ref="A20:D20"/>
    <mergeCell ref="AP4:AP5"/>
    <mergeCell ref="E4:AM4"/>
    <mergeCell ref="Z5:AB5"/>
    <mergeCell ref="AC5:AE5"/>
    <mergeCell ref="AF5:AH5"/>
    <mergeCell ref="AI5:AK5"/>
    <mergeCell ref="AL5:AN5"/>
    <mergeCell ref="AO4:AO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colBreaks count="2" manualBreakCount="2">
    <brk id="16" max="23" man="1"/>
    <brk id="31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L24"/>
  <sheetViews>
    <sheetView view="pageBreakPreview" zoomScaleNormal="100" zoomScaleSheetLayoutView="100" workbookViewId="0">
      <selection activeCell="H12" sqref="H12"/>
    </sheetView>
  </sheetViews>
  <sheetFormatPr defaultRowHeight="15" x14ac:dyDescent="0.25"/>
  <cols>
    <col min="1" max="1" width="4.28515625" customWidth="1"/>
    <col min="2" max="2" width="6.7109375" customWidth="1"/>
    <col min="3" max="3" width="13.28515625" customWidth="1"/>
    <col min="4" max="4" width="32.28515625" customWidth="1"/>
    <col min="5" max="5" width="17.5703125" customWidth="1"/>
    <col min="6" max="6" width="19.42578125" customWidth="1"/>
    <col min="7" max="7" width="16.42578125" customWidth="1"/>
    <col min="8" max="8" width="27.5703125" customWidth="1"/>
    <col min="9" max="9" width="14" customWidth="1"/>
    <col min="12" max="12" width="13.140625" customWidth="1"/>
  </cols>
  <sheetData>
    <row r="2" spans="1:12" x14ac:dyDescent="0.25">
      <c r="A2" s="390" t="s">
        <v>211</v>
      </c>
      <c r="B2" s="391"/>
      <c r="C2" s="391"/>
      <c r="D2" s="391"/>
      <c r="E2" s="391"/>
      <c r="F2" s="391"/>
      <c r="G2" s="391"/>
      <c r="H2" s="391"/>
      <c r="I2" s="391"/>
    </row>
    <row r="3" spans="1:12" ht="16.149999999999999" thickBot="1" x14ac:dyDescent="0.35">
      <c r="A3" s="24"/>
      <c r="B3" s="24"/>
      <c r="C3" s="24"/>
      <c r="D3" s="162"/>
      <c r="E3" s="392"/>
      <c r="F3" s="392"/>
      <c r="G3" s="17"/>
      <c r="H3" s="17"/>
      <c r="I3" s="17"/>
    </row>
    <row r="4" spans="1:12" ht="32.25" thickBot="1" x14ac:dyDescent="0.3">
      <c r="A4" s="165" t="s">
        <v>0</v>
      </c>
      <c r="B4" s="164" t="s">
        <v>108</v>
      </c>
      <c r="C4" s="164" t="s">
        <v>1</v>
      </c>
      <c r="D4" s="164" t="s">
        <v>2</v>
      </c>
      <c r="E4" s="425" t="s">
        <v>207</v>
      </c>
      <c r="F4" s="425"/>
      <c r="G4" s="166"/>
      <c r="H4" s="166"/>
      <c r="I4" s="433" t="s">
        <v>57</v>
      </c>
    </row>
    <row r="5" spans="1:12" ht="31.9" customHeight="1" thickBot="1" x14ac:dyDescent="0.3">
      <c r="A5" s="167"/>
      <c r="B5" s="168"/>
      <c r="C5" s="168"/>
      <c r="D5" s="168"/>
      <c r="E5" s="168" t="s">
        <v>94</v>
      </c>
      <c r="F5" s="169" t="s">
        <v>95</v>
      </c>
      <c r="G5" s="170" t="s">
        <v>79</v>
      </c>
      <c r="H5" s="171" t="s">
        <v>72</v>
      </c>
      <c r="I5" s="434"/>
    </row>
    <row r="6" spans="1:12" ht="33" customHeight="1" thickBot="1" x14ac:dyDescent="0.3">
      <c r="A6" s="172"/>
      <c r="B6" s="173"/>
      <c r="C6" s="173"/>
      <c r="D6" s="173"/>
      <c r="E6" s="173" t="s">
        <v>90</v>
      </c>
      <c r="F6" s="174" t="s">
        <v>91</v>
      </c>
      <c r="G6" s="283" t="s">
        <v>92</v>
      </c>
      <c r="H6" s="176" t="s">
        <v>214</v>
      </c>
      <c r="I6" s="435"/>
    </row>
    <row r="7" spans="1:12" ht="31.15" customHeight="1" x14ac:dyDescent="0.25">
      <c r="A7" s="182" t="s">
        <v>8</v>
      </c>
      <c r="B7" s="183" t="s">
        <v>9</v>
      </c>
      <c r="C7" s="183" t="s">
        <v>10</v>
      </c>
      <c r="D7" s="188" t="s">
        <v>11</v>
      </c>
      <c r="E7" s="177">
        <v>4379600</v>
      </c>
      <c r="F7" s="240">
        <v>4379596.38</v>
      </c>
      <c r="G7" s="150">
        <f>(E7-F7)/E7</f>
        <v>8.2655950317649076E-7</v>
      </c>
      <c r="H7" s="150">
        <v>1</v>
      </c>
      <c r="I7" s="7">
        <f>H7*5</f>
        <v>5</v>
      </c>
      <c r="L7" s="6">
        <f>IF(G7&gt;=0.1,0,1-(K7/100))</f>
        <v>1</v>
      </c>
    </row>
    <row r="8" spans="1:12" ht="25.5" x14ac:dyDescent="0.25">
      <c r="A8" s="184" t="s">
        <v>15</v>
      </c>
      <c r="B8" s="185" t="s">
        <v>12</v>
      </c>
      <c r="C8" s="185" t="s">
        <v>13</v>
      </c>
      <c r="D8" s="189" t="s">
        <v>14</v>
      </c>
      <c r="E8" s="177">
        <v>777481300</v>
      </c>
      <c r="F8" s="281">
        <v>736338809.90999997</v>
      </c>
      <c r="G8" s="150">
        <f t="shared" ref="G8:G18" si="0">(E8-F8)/E8</f>
        <v>5.2917658714106738E-2</v>
      </c>
      <c r="H8" s="150">
        <f>(0.1-G8)/0.08</f>
        <v>0.58852926607366585</v>
      </c>
      <c r="I8" s="11">
        <f>H8*5</f>
        <v>2.942646330368329</v>
      </c>
    </row>
    <row r="9" spans="1:12" ht="15.75" x14ac:dyDescent="0.25">
      <c r="A9" s="184" t="s">
        <v>16</v>
      </c>
      <c r="B9" s="185" t="s">
        <v>22</v>
      </c>
      <c r="C9" s="185" t="s">
        <v>23</v>
      </c>
      <c r="D9" s="189" t="s">
        <v>24</v>
      </c>
      <c r="E9" s="177">
        <v>23834200</v>
      </c>
      <c r="F9" s="281">
        <v>23834134.82</v>
      </c>
      <c r="G9" s="150">
        <f t="shared" si="0"/>
        <v>2.7347257302406618E-6</v>
      </c>
      <c r="H9" s="150">
        <v>1</v>
      </c>
      <c r="I9" s="11">
        <f t="shared" ref="I9:I18" si="1">H9*5</f>
        <v>5</v>
      </c>
    </row>
    <row r="10" spans="1:12" ht="30" customHeight="1" x14ac:dyDescent="0.25">
      <c r="A10" s="184" t="s">
        <v>17</v>
      </c>
      <c r="B10" s="185" t="s">
        <v>25</v>
      </c>
      <c r="C10" s="185" t="s">
        <v>26</v>
      </c>
      <c r="D10" s="189" t="s">
        <v>27</v>
      </c>
      <c r="E10" s="177">
        <v>3857900</v>
      </c>
      <c r="F10" s="281">
        <v>3857839.99</v>
      </c>
      <c r="G10" s="150">
        <f t="shared" si="0"/>
        <v>1.5555094740604081E-5</v>
      </c>
      <c r="H10" s="150">
        <v>1</v>
      </c>
      <c r="I10" s="11">
        <f t="shared" si="1"/>
        <v>5</v>
      </c>
    </row>
    <row r="11" spans="1:12" ht="40.15" customHeight="1" x14ac:dyDescent="0.25">
      <c r="A11" s="184" t="s">
        <v>18</v>
      </c>
      <c r="B11" s="185" t="s">
        <v>28</v>
      </c>
      <c r="C11" s="185" t="s">
        <v>29</v>
      </c>
      <c r="D11" s="189" t="s">
        <v>30</v>
      </c>
      <c r="E11" s="177">
        <v>6101200</v>
      </c>
      <c r="F11" s="281">
        <v>6093900.96</v>
      </c>
      <c r="G11" s="150">
        <f t="shared" si="0"/>
        <v>1.1963285910968394E-3</v>
      </c>
      <c r="H11" s="150">
        <v>1</v>
      </c>
      <c r="I11" s="11">
        <f t="shared" si="1"/>
        <v>5</v>
      </c>
    </row>
    <row r="12" spans="1:12" ht="28.15" customHeight="1" x14ac:dyDescent="0.25">
      <c r="A12" s="184" t="s">
        <v>19</v>
      </c>
      <c r="B12" s="185" t="s">
        <v>31</v>
      </c>
      <c r="C12" s="185" t="s">
        <v>32</v>
      </c>
      <c r="D12" s="189" t="s">
        <v>33</v>
      </c>
      <c r="E12" s="177">
        <v>4082400</v>
      </c>
      <c r="F12" s="281">
        <v>4082400</v>
      </c>
      <c r="G12" s="150">
        <f t="shared" si="0"/>
        <v>0</v>
      </c>
      <c r="H12" s="150">
        <v>1</v>
      </c>
      <c r="I12" s="11">
        <f t="shared" si="1"/>
        <v>5</v>
      </c>
    </row>
    <row r="13" spans="1:12" ht="15.75" x14ac:dyDescent="0.25">
      <c r="A13" s="184" t="s">
        <v>20</v>
      </c>
      <c r="B13" s="185" t="s">
        <v>34</v>
      </c>
      <c r="C13" s="185" t="s">
        <v>35</v>
      </c>
      <c r="D13" s="189" t="s">
        <v>36</v>
      </c>
      <c r="E13" s="177">
        <v>49657200</v>
      </c>
      <c r="F13" s="281">
        <v>28426228.84</v>
      </c>
      <c r="G13" s="150">
        <f t="shared" si="0"/>
        <v>0.42755071087375046</v>
      </c>
      <c r="H13" s="150">
        <v>0</v>
      </c>
      <c r="I13" s="11">
        <f t="shared" si="1"/>
        <v>0</v>
      </c>
    </row>
    <row r="14" spans="1:12" ht="16.899999999999999" customHeight="1" x14ac:dyDescent="0.25">
      <c r="A14" s="184" t="s">
        <v>21</v>
      </c>
      <c r="B14" s="185" t="s">
        <v>40</v>
      </c>
      <c r="C14" s="185" t="s">
        <v>38</v>
      </c>
      <c r="D14" s="189" t="s">
        <v>39</v>
      </c>
      <c r="E14" s="177">
        <v>1790453215.9400001</v>
      </c>
      <c r="F14" s="281">
        <v>1759926999.3099999</v>
      </c>
      <c r="G14" s="150">
        <f t="shared" si="0"/>
        <v>1.7049435505062133E-2</v>
      </c>
      <c r="H14" s="150">
        <v>1</v>
      </c>
      <c r="I14" s="11">
        <f>H14*5</f>
        <v>5</v>
      </c>
    </row>
    <row r="15" spans="1:12" ht="15.75" x14ac:dyDescent="0.25">
      <c r="A15" s="186">
        <v>9</v>
      </c>
      <c r="B15" s="185" t="s">
        <v>41</v>
      </c>
      <c r="C15" s="185" t="s">
        <v>42</v>
      </c>
      <c r="D15" s="189" t="s">
        <v>43</v>
      </c>
      <c r="E15" s="177">
        <v>119291700</v>
      </c>
      <c r="F15" s="281">
        <v>119271459.08</v>
      </c>
      <c r="G15" s="150">
        <f t="shared" si="0"/>
        <v>1.6967584500851096E-4</v>
      </c>
      <c r="H15" s="150">
        <f t="shared" ref="H15" si="2">IF(G15&gt;10,0,(1-G15/100))</f>
        <v>0.99999830324154992</v>
      </c>
      <c r="I15" s="11">
        <f t="shared" si="1"/>
        <v>4.99999151620775</v>
      </c>
    </row>
    <row r="16" spans="1:12" ht="15.75" x14ac:dyDescent="0.25">
      <c r="A16" s="186">
        <v>10</v>
      </c>
      <c r="B16" s="185" t="s">
        <v>44</v>
      </c>
      <c r="C16" s="185" t="s">
        <v>45</v>
      </c>
      <c r="D16" s="189" t="s">
        <v>46</v>
      </c>
      <c r="E16" s="177">
        <v>24527900</v>
      </c>
      <c r="F16" s="281">
        <v>24527798.390000001</v>
      </c>
      <c r="G16" s="150">
        <f t="shared" si="0"/>
        <v>4.1426294138268649E-6</v>
      </c>
      <c r="H16" s="150">
        <v>1</v>
      </c>
      <c r="I16" s="11">
        <f t="shared" si="1"/>
        <v>5</v>
      </c>
    </row>
    <row r="17" spans="1:9" ht="18" customHeight="1" x14ac:dyDescent="0.25">
      <c r="A17" s="186">
        <v>11</v>
      </c>
      <c r="B17" s="185" t="s">
        <v>47</v>
      </c>
      <c r="C17" s="185" t="s">
        <v>48</v>
      </c>
      <c r="D17" s="189" t="s">
        <v>49</v>
      </c>
      <c r="E17" s="177">
        <v>14438000</v>
      </c>
      <c r="F17" s="281">
        <v>14429551.27</v>
      </c>
      <c r="G17" s="150">
        <f t="shared" si="0"/>
        <v>5.851731541765097E-4</v>
      </c>
      <c r="H17" s="150">
        <v>1</v>
      </c>
      <c r="I17" s="11">
        <f t="shared" si="1"/>
        <v>5</v>
      </c>
    </row>
    <row r="18" spans="1:9" ht="32.450000000000003" customHeight="1" x14ac:dyDescent="0.25">
      <c r="A18" s="184" t="s">
        <v>37</v>
      </c>
      <c r="B18" s="185" t="s">
        <v>50</v>
      </c>
      <c r="C18" s="185" t="s">
        <v>51</v>
      </c>
      <c r="D18" s="189" t="s">
        <v>52</v>
      </c>
      <c r="E18" s="177">
        <v>102048700</v>
      </c>
      <c r="F18" s="282">
        <v>100043542.48</v>
      </c>
      <c r="G18" s="150">
        <f t="shared" si="0"/>
        <v>1.9649025612281153E-2</v>
      </c>
      <c r="H18" s="239">
        <v>1</v>
      </c>
      <c r="I18" s="277">
        <f t="shared" si="1"/>
        <v>5</v>
      </c>
    </row>
    <row r="19" spans="1:9" ht="15.75" x14ac:dyDescent="0.25">
      <c r="A19" s="436" t="s">
        <v>58</v>
      </c>
      <c r="B19" s="437"/>
      <c r="C19" s="437"/>
      <c r="D19" s="438"/>
      <c r="E19" s="278">
        <f>E7+E8+E9+E10+E11+E12+E13+E14+E15+E16+E17+E18</f>
        <v>2920153315.9400001</v>
      </c>
      <c r="F19" s="279">
        <f>F7+F8+F9+F10+F11+F12+F13+F14+F15+F16+F17+F18</f>
        <v>2825212261.4299998</v>
      </c>
      <c r="G19" s="280">
        <f t="shared" ref="G19:I19" si="3">G7+G8+G9+G10+G11+G12+G13+G14+G15+G16+G17+G18</f>
        <v>0.51914126730487009</v>
      </c>
      <c r="H19" s="280">
        <f t="shared" si="3"/>
        <v>10.588527569315215</v>
      </c>
      <c r="I19" s="280">
        <f t="shared" si="3"/>
        <v>52.942637846576083</v>
      </c>
    </row>
    <row r="20" spans="1:9" ht="15.75" x14ac:dyDescent="0.25">
      <c r="A20" s="402" t="s">
        <v>188</v>
      </c>
      <c r="B20" s="403"/>
      <c r="C20" s="403"/>
      <c r="D20" s="404"/>
      <c r="E20" s="267"/>
      <c r="F20" s="268"/>
      <c r="G20" s="276">
        <f>G19/12</f>
        <v>4.3261772275405841E-2</v>
      </c>
      <c r="H20" s="276">
        <f t="shared" ref="H20:I20" si="4">H19/12</f>
        <v>0.88237729744293458</v>
      </c>
      <c r="I20" s="276">
        <f t="shared" si="4"/>
        <v>4.4118864872146739</v>
      </c>
    </row>
    <row r="21" spans="1:9" ht="15.75" x14ac:dyDescent="0.25">
      <c r="A21" s="15"/>
      <c r="B21" s="15"/>
      <c r="C21" s="15"/>
      <c r="D21" s="15"/>
      <c r="E21" s="16"/>
      <c r="F21" s="17"/>
      <c r="G21" s="18"/>
      <c r="H21" s="18"/>
      <c r="I21" s="18"/>
    </row>
    <row r="22" spans="1:9" ht="15.75" x14ac:dyDescent="0.25">
      <c r="A22" s="15"/>
      <c r="B22" s="15"/>
      <c r="C22" s="15"/>
      <c r="D22" s="15"/>
      <c r="E22" s="39"/>
      <c r="F22" s="17"/>
      <c r="G22" s="17"/>
      <c r="H22" s="17"/>
      <c r="I22" s="17"/>
    </row>
    <row r="23" spans="1:9" ht="15.75" x14ac:dyDescent="0.25">
      <c r="A23" s="396" t="s">
        <v>210</v>
      </c>
      <c r="B23" s="396"/>
      <c r="C23" s="396"/>
      <c r="D23" s="396"/>
      <c r="E23" s="396"/>
      <c r="F23" s="396"/>
      <c r="G23" s="396"/>
      <c r="H23" s="396"/>
      <c r="I23" s="396"/>
    </row>
    <row r="24" spans="1:9" ht="15.75" x14ac:dyDescent="0.25">
      <c r="A24" s="387"/>
      <c r="B24" s="388"/>
      <c r="C24" s="389"/>
      <c r="D24" s="17"/>
      <c r="E24" s="17"/>
      <c r="F24" s="17"/>
      <c r="G24" s="17"/>
      <c r="H24" s="17"/>
      <c r="I24" s="17"/>
    </row>
  </sheetData>
  <mergeCells count="8">
    <mergeCell ref="A24:C24"/>
    <mergeCell ref="A2:I2"/>
    <mergeCell ref="E3:F3"/>
    <mergeCell ref="I4:I6"/>
    <mergeCell ref="E4:F4"/>
    <mergeCell ref="A23:I23"/>
    <mergeCell ref="A19:D19"/>
    <mergeCell ref="A20:D20"/>
  </mergeCells>
  <pageMargins left="0.7" right="0.7" top="0.75" bottom="0.75" header="0.3" footer="0.3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Q33"/>
  <sheetViews>
    <sheetView zoomScale="82" zoomScaleNormal="82" workbookViewId="0">
      <selection activeCell="H27" sqref="H27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3.42578125" style="17" customWidth="1"/>
    <col min="4" max="4" width="54" style="17" customWidth="1"/>
    <col min="5" max="5" width="16" style="17" customWidth="1"/>
    <col min="6" max="6" width="16.28515625" style="17" customWidth="1"/>
    <col min="7" max="7" width="14.7109375" style="17" customWidth="1"/>
    <col min="8" max="8" width="20" style="17" customWidth="1"/>
    <col min="9" max="9" width="12.5703125" style="17" customWidth="1"/>
    <col min="10" max="16384" width="9.140625" style="17"/>
  </cols>
  <sheetData>
    <row r="1" spans="1:173" x14ac:dyDescent="0.25">
      <c r="A1" s="439" t="s">
        <v>82</v>
      </c>
      <c r="B1" s="440"/>
      <c r="C1" s="440"/>
      <c r="D1" s="440"/>
      <c r="E1" s="440"/>
      <c r="F1" s="440"/>
      <c r="G1" s="440"/>
      <c r="H1" s="440"/>
      <c r="I1" s="440"/>
    </row>
    <row r="2" spans="1:173" ht="16.5" thickBot="1" x14ac:dyDescent="0.3">
      <c r="D2" s="137" t="s">
        <v>75</v>
      </c>
      <c r="E2" s="441" t="s">
        <v>201</v>
      </c>
      <c r="F2" s="441"/>
    </row>
    <row r="3" spans="1:173" ht="34.5" customHeight="1" thickBot="1" x14ac:dyDescent="0.3">
      <c r="A3" s="71" t="s">
        <v>0</v>
      </c>
      <c r="B3" s="51"/>
      <c r="C3" s="52" t="s">
        <v>1</v>
      </c>
      <c r="D3" s="52" t="s">
        <v>2</v>
      </c>
      <c r="E3" s="442" t="s">
        <v>74</v>
      </c>
      <c r="F3" s="442"/>
      <c r="G3" s="85"/>
      <c r="H3" s="445" t="s">
        <v>73</v>
      </c>
      <c r="I3" s="443" t="s">
        <v>57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</row>
    <row r="4" spans="1:173" ht="61.5" customHeight="1" thickBot="1" x14ac:dyDescent="0.3">
      <c r="A4" s="49"/>
      <c r="B4" s="86"/>
      <c r="C4" s="86"/>
      <c r="D4" s="86"/>
      <c r="E4" s="53" t="s">
        <v>80</v>
      </c>
      <c r="F4" s="53" t="s">
        <v>81</v>
      </c>
      <c r="G4" s="70" t="s">
        <v>79</v>
      </c>
      <c r="H4" s="444"/>
      <c r="I4" s="444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</row>
    <row r="5" spans="1:173" ht="30" customHeight="1" thickBot="1" x14ac:dyDescent="0.3">
      <c r="A5" s="90"/>
      <c r="B5" s="13"/>
      <c r="C5" s="13"/>
      <c r="D5" s="13"/>
      <c r="E5" s="13" t="s">
        <v>76</v>
      </c>
      <c r="F5" s="14" t="s">
        <v>77</v>
      </c>
      <c r="G5" s="43" t="s">
        <v>78</v>
      </c>
      <c r="H5" s="91" t="s">
        <v>88</v>
      </c>
      <c r="I5" s="44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</row>
    <row r="6" spans="1:173" x14ac:dyDescent="0.25">
      <c r="A6" s="55" t="s">
        <v>8</v>
      </c>
      <c r="B6" s="87" t="s">
        <v>9</v>
      </c>
      <c r="C6" s="88" t="s">
        <v>10</v>
      </c>
      <c r="D6" s="89" t="s">
        <v>11</v>
      </c>
      <c r="E6" s="139">
        <v>64596.38</v>
      </c>
      <c r="F6" s="140">
        <v>64600</v>
      </c>
      <c r="G6" s="102">
        <f>1-(E6/F6)</f>
        <v>5.603715170288126E-5</v>
      </c>
      <c r="H6" s="147">
        <v>1</v>
      </c>
      <c r="I6" s="103">
        <f>H6*5</f>
        <v>5</v>
      </c>
    </row>
    <row r="7" spans="1:173" ht="18.75" customHeight="1" x14ac:dyDescent="0.25">
      <c r="A7" s="58" t="s">
        <v>15</v>
      </c>
      <c r="B7" s="59" t="s">
        <v>12</v>
      </c>
      <c r="C7" s="60" t="s">
        <v>13</v>
      </c>
      <c r="D7" s="61" t="s">
        <v>14</v>
      </c>
      <c r="E7" s="141">
        <v>180286168.72999999</v>
      </c>
      <c r="F7" s="142">
        <v>184993000</v>
      </c>
      <c r="G7" s="102">
        <f>1-(E7/F7)</f>
        <v>2.5443293908418263E-2</v>
      </c>
      <c r="H7" s="148">
        <v>1</v>
      </c>
      <c r="I7" s="104">
        <f>H7*5</f>
        <v>5</v>
      </c>
    </row>
    <row r="8" spans="1:173" x14ac:dyDescent="0.25">
      <c r="A8" s="58" t="s">
        <v>16</v>
      </c>
      <c r="B8" s="59" t="s">
        <v>22</v>
      </c>
      <c r="C8" s="60" t="s">
        <v>23</v>
      </c>
      <c r="D8" s="61" t="s">
        <v>24</v>
      </c>
      <c r="E8" s="141">
        <v>3271200</v>
      </c>
      <c r="F8" s="142">
        <v>3271200</v>
      </c>
      <c r="G8" s="102">
        <f t="shared" ref="G8:G17" si="0">1-(E8/F8)</f>
        <v>0</v>
      </c>
      <c r="H8" s="148">
        <v>1</v>
      </c>
      <c r="I8" s="104">
        <f t="shared" ref="I8:I17" si="1">H8*5</f>
        <v>5</v>
      </c>
    </row>
    <row r="9" spans="1:173" ht="31.5" x14ac:dyDescent="0.25">
      <c r="A9" s="58" t="s">
        <v>17</v>
      </c>
      <c r="B9" s="59" t="s">
        <v>25</v>
      </c>
      <c r="C9" s="60" t="s">
        <v>26</v>
      </c>
      <c r="D9" s="61" t="s">
        <v>27</v>
      </c>
      <c r="E9" s="141">
        <v>37339.99</v>
      </c>
      <c r="F9" s="142">
        <v>37400</v>
      </c>
      <c r="G9" s="102">
        <f t="shared" si="0"/>
        <v>1.6045454545454696E-3</v>
      </c>
      <c r="H9" s="148">
        <v>1</v>
      </c>
      <c r="I9" s="104">
        <f t="shared" si="1"/>
        <v>5</v>
      </c>
    </row>
    <row r="10" spans="1:173" ht="31.5" x14ac:dyDescent="0.25">
      <c r="A10" s="58" t="s">
        <v>18</v>
      </c>
      <c r="B10" s="59" t="s">
        <v>28</v>
      </c>
      <c r="C10" s="60" t="s">
        <v>29</v>
      </c>
      <c r="D10" s="61" t="s">
        <v>30</v>
      </c>
      <c r="E10" s="141">
        <v>790670.48</v>
      </c>
      <c r="F10" s="142">
        <v>790700</v>
      </c>
      <c r="G10" s="102">
        <f t="shared" si="0"/>
        <v>3.7334007841227645E-5</v>
      </c>
      <c r="H10" s="148">
        <v>1</v>
      </c>
      <c r="I10" s="104">
        <f t="shared" si="1"/>
        <v>5</v>
      </c>
    </row>
    <row r="11" spans="1:173" ht="19.5" customHeight="1" x14ac:dyDescent="0.25">
      <c r="A11" s="58" t="s">
        <v>19</v>
      </c>
      <c r="B11" s="59" t="s">
        <v>31</v>
      </c>
      <c r="C11" s="60" t="s">
        <v>32</v>
      </c>
      <c r="D11" s="61" t="s">
        <v>33</v>
      </c>
      <c r="E11" s="141">
        <v>10300</v>
      </c>
      <c r="F11" s="142">
        <v>10300</v>
      </c>
      <c r="G11" s="102">
        <f t="shared" si="0"/>
        <v>0</v>
      </c>
      <c r="H11" s="148">
        <v>1</v>
      </c>
      <c r="I11" s="104">
        <f t="shared" si="1"/>
        <v>5</v>
      </c>
    </row>
    <row r="12" spans="1:173" x14ac:dyDescent="0.25">
      <c r="A12" s="58" t="s">
        <v>20</v>
      </c>
      <c r="B12" s="59" t="s">
        <v>34</v>
      </c>
      <c r="C12" s="60" t="s">
        <v>35</v>
      </c>
      <c r="D12" s="61" t="s">
        <v>36</v>
      </c>
      <c r="E12" s="141">
        <v>22021055.420000002</v>
      </c>
      <c r="F12" s="142">
        <v>33600500</v>
      </c>
      <c r="G12" s="102">
        <f>1-(E12/F12)</f>
        <v>0.34462119849407002</v>
      </c>
      <c r="H12" s="148">
        <v>0</v>
      </c>
      <c r="I12" s="104">
        <f t="shared" si="1"/>
        <v>0</v>
      </c>
    </row>
    <row r="13" spans="1:173" x14ac:dyDescent="0.25">
      <c r="A13" s="58" t="s">
        <v>21</v>
      </c>
      <c r="B13" s="59" t="s">
        <v>40</v>
      </c>
      <c r="C13" s="60" t="s">
        <v>38</v>
      </c>
      <c r="D13" s="61" t="s">
        <v>39</v>
      </c>
      <c r="E13" s="143">
        <v>30580688.390000001</v>
      </c>
      <c r="F13" s="141">
        <v>30658700</v>
      </c>
      <c r="G13" s="102">
        <f>1-(E13/F13)</f>
        <v>2.5445178693159765E-3</v>
      </c>
      <c r="H13" s="148">
        <v>1</v>
      </c>
      <c r="I13" s="104">
        <f t="shared" si="1"/>
        <v>5</v>
      </c>
    </row>
    <row r="14" spans="1:173" x14ac:dyDescent="0.25">
      <c r="A14" s="62">
        <v>9</v>
      </c>
      <c r="B14" s="59" t="s">
        <v>41</v>
      </c>
      <c r="C14" s="60" t="s">
        <v>42</v>
      </c>
      <c r="D14" s="61" t="s">
        <v>43</v>
      </c>
      <c r="E14" s="143">
        <v>1786517.6</v>
      </c>
      <c r="F14" s="141">
        <v>1786600</v>
      </c>
      <c r="G14" s="102">
        <f t="shared" si="0"/>
        <v>4.6121123922437945E-5</v>
      </c>
      <c r="H14" s="148">
        <v>1</v>
      </c>
      <c r="I14" s="104">
        <f t="shared" si="1"/>
        <v>5</v>
      </c>
    </row>
    <row r="15" spans="1:173" x14ac:dyDescent="0.25">
      <c r="A15" s="62">
        <v>10</v>
      </c>
      <c r="B15" s="59" t="s">
        <v>44</v>
      </c>
      <c r="C15" s="60" t="s">
        <v>45</v>
      </c>
      <c r="D15" s="61" t="s">
        <v>46</v>
      </c>
      <c r="E15" s="143">
        <v>793286.23</v>
      </c>
      <c r="F15" s="141">
        <v>793380</v>
      </c>
      <c r="G15" s="102">
        <f t="shared" si="0"/>
        <v>1.1819052660766438E-4</v>
      </c>
      <c r="H15" s="148">
        <v>1</v>
      </c>
      <c r="I15" s="104">
        <f t="shared" si="1"/>
        <v>5</v>
      </c>
    </row>
    <row r="16" spans="1:173" x14ac:dyDescent="0.25">
      <c r="A16" s="62">
        <v>11</v>
      </c>
      <c r="B16" s="59" t="s">
        <v>47</v>
      </c>
      <c r="C16" s="60" t="s">
        <v>48</v>
      </c>
      <c r="D16" s="61" t="s">
        <v>49</v>
      </c>
      <c r="E16" s="143">
        <v>2848790.9</v>
      </c>
      <c r="F16" s="141">
        <v>2848900</v>
      </c>
      <c r="G16" s="102">
        <f>1-(E16/F16)</f>
        <v>3.8295482466921271E-5</v>
      </c>
      <c r="H16" s="148">
        <v>1</v>
      </c>
      <c r="I16" s="104">
        <f t="shared" si="1"/>
        <v>5</v>
      </c>
    </row>
    <row r="17" spans="1:9" ht="34.5" customHeight="1" thickBot="1" x14ac:dyDescent="0.3">
      <c r="A17" s="92" t="s">
        <v>37</v>
      </c>
      <c r="B17" s="93" t="s">
        <v>50</v>
      </c>
      <c r="C17" s="94" t="s">
        <v>51</v>
      </c>
      <c r="D17" s="95" t="s">
        <v>52</v>
      </c>
      <c r="E17" s="144">
        <v>1815400</v>
      </c>
      <c r="F17" s="145">
        <v>1815400</v>
      </c>
      <c r="G17" s="102">
        <f t="shared" si="0"/>
        <v>0</v>
      </c>
      <c r="H17" s="149">
        <v>1</v>
      </c>
      <c r="I17" s="104">
        <f t="shared" si="1"/>
        <v>5</v>
      </c>
    </row>
    <row r="18" spans="1:9" ht="16.5" thickBot="1" x14ac:dyDescent="0.3">
      <c r="A18" s="96" t="s">
        <v>37</v>
      </c>
      <c r="B18" s="97"/>
      <c r="C18" s="98"/>
      <c r="D18" s="99" t="s">
        <v>58</v>
      </c>
      <c r="E18" s="146">
        <f>SUM(E6:E17)</f>
        <v>244306014.11999997</v>
      </c>
      <c r="F18" s="146">
        <f>SUM(F6:F17)</f>
        <v>260670680</v>
      </c>
      <c r="G18" s="100">
        <f>SUM(G6:G17)</f>
        <v>0.37450953401889087</v>
      </c>
      <c r="H18" s="101"/>
      <c r="I18" s="252">
        <f>SUM(I6:I17)/12</f>
        <v>4.583333333333333</v>
      </c>
    </row>
    <row r="19" spans="1:9" ht="15.6" x14ac:dyDescent="0.3">
      <c r="H19" s="82"/>
    </row>
    <row r="20" spans="1:9" x14ac:dyDescent="0.25">
      <c r="D20" s="17" t="s">
        <v>55</v>
      </c>
      <c r="G20" s="18">
        <f>G18/A18</f>
        <v>3.1209127834907573E-2</v>
      </c>
      <c r="I20" s="266"/>
    </row>
    <row r="21" spans="1:9" x14ac:dyDescent="0.25">
      <c r="E21" s="67"/>
    </row>
    <row r="23" spans="1:9" x14ac:dyDescent="0.25">
      <c r="A23" s="396" t="s">
        <v>89</v>
      </c>
      <c r="B23" s="396"/>
      <c r="C23" s="396"/>
      <c r="D23" s="396"/>
      <c r="E23" s="396"/>
      <c r="F23" s="396"/>
      <c r="G23" s="396"/>
      <c r="H23" s="396"/>
      <c r="I23" s="396"/>
    </row>
    <row r="24" spans="1:9" x14ac:dyDescent="0.25">
      <c r="A24" s="387">
        <v>44284</v>
      </c>
      <c r="B24" s="388"/>
      <c r="C24" s="389"/>
    </row>
    <row r="31" spans="1:9" x14ac:dyDescent="0.25">
      <c r="E31" s="68"/>
    </row>
    <row r="33" spans="1:4" x14ac:dyDescent="0.25">
      <c r="A33" s="69"/>
      <c r="B33" s="69"/>
      <c r="D33" s="50"/>
    </row>
  </sheetData>
  <mergeCells count="7">
    <mergeCell ref="A23:I23"/>
    <mergeCell ref="A24:C24"/>
    <mergeCell ref="A1:I1"/>
    <mergeCell ref="E2:F2"/>
    <mergeCell ref="E3:F3"/>
    <mergeCell ref="I3:I5"/>
    <mergeCell ref="H3:H4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Q31"/>
  <sheetViews>
    <sheetView view="pageBreakPreview" zoomScale="82" zoomScaleNormal="110" zoomScaleSheetLayoutView="82" workbookViewId="0">
      <selection activeCell="G8" sqref="G8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5.85546875" style="17" customWidth="1"/>
    <col min="5" max="5" width="11.7109375" style="17" customWidth="1"/>
    <col min="6" max="6" width="11.85546875" style="17" customWidth="1"/>
    <col min="7" max="7" width="16" style="17" customWidth="1"/>
    <col min="8" max="8" width="14.140625" style="17" customWidth="1"/>
    <col min="9" max="9" width="12.5703125" style="17" customWidth="1"/>
    <col min="10" max="16384" width="9.140625" style="17"/>
  </cols>
  <sheetData>
    <row r="1" spans="1:173" ht="43.9" customHeight="1" x14ac:dyDescent="0.25">
      <c r="A1" s="448" t="s">
        <v>203</v>
      </c>
      <c r="B1" s="448"/>
      <c r="C1" s="448"/>
      <c r="D1" s="448"/>
      <c r="E1" s="448"/>
      <c r="F1" s="448"/>
      <c r="G1" s="448"/>
      <c r="H1" s="448"/>
      <c r="I1" s="448"/>
    </row>
    <row r="2" spans="1:173" ht="15.6" x14ac:dyDescent="0.3">
      <c r="D2" s="137"/>
      <c r="E2" s="449"/>
      <c r="F2" s="449"/>
    </row>
    <row r="3" spans="1:173" ht="15.75" customHeight="1" x14ac:dyDescent="0.25">
      <c r="A3" s="291" t="s">
        <v>0</v>
      </c>
      <c r="B3" s="291"/>
      <c r="C3" s="291" t="s">
        <v>1</v>
      </c>
      <c r="D3" s="291" t="s">
        <v>2</v>
      </c>
      <c r="E3" s="450" t="s">
        <v>53</v>
      </c>
      <c r="F3" s="450"/>
      <c r="G3" s="291"/>
      <c r="H3" s="450" t="s">
        <v>87</v>
      </c>
      <c r="I3" s="450" t="s">
        <v>57</v>
      </c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</row>
    <row r="4" spans="1:173" ht="32.25" customHeight="1" x14ac:dyDescent="0.25">
      <c r="A4" s="291"/>
      <c r="B4" s="291"/>
      <c r="C4" s="291"/>
      <c r="D4" s="291"/>
      <c r="E4" s="291" t="s">
        <v>4</v>
      </c>
      <c r="F4" s="291" t="s">
        <v>5</v>
      </c>
      <c r="G4" s="291" t="s">
        <v>79</v>
      </c>
      <c r="H4" s="451"/>
      <c r="I4" s="451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</row>
    <row r="5" spans="1:173" ht="36.75" customHeight="1" thickBot="1" x14ac:dyDescent="0.3">
      <c r="A5" s="74"/>
      <c r="B5" s="74"/>
      <c r="C5" s="74"/>
      <c r="D5" s="74"/>
      <c r="E5" s="291" t="s">
        <v>6</v>
      </c>
      <c r="F5" s="291" t="s">
        <v>7</v>
      </c>
      <c r="G5" s="291" t="s">
        <v>56</v>
      </c>
      <c r="H5" s="451"/>
      <c r="I5" s="451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</row>
    <row r="6" spans="1:173" x14ac:dyDescent="0.25">
      <c r="A6" s="60" t="s">
        <v>8</v>
      </c>
      <c r="B6" s="60" t="s">
        <v>9</v>
      </c>
      <c r="C6" s="60" t="s">
        <v>10</v>
      </c>
      <c r="D6" s="61" t="s">
        <v>11</v>
      </c>
      <c r="E6" s="317">
        <v>347</v>
      </c>
      <c r="F6" s="10">
        <v>7</v>
      </c>
      <c r="G6" s="318">
        <f>F6/E6*100</f>
        <v>2.0172910662824206</v>
      </c>
      <c r="H6" s="6">
        <f>IF(G6&gt;10,0,1-(G6/100))</f>
        <v>0.97982708933717577</v>
      </c>
      <c r="I6" s="319">
        <f>H6*5</f>
        <v>4.8991354466858787</v>
      </c>
    </row>
    <row r="7" spans="1:173" ht="18.75" customHeight="1" x14ac:dyDescent="0.25">
      <c r="A7" s="60" t="s">
        <v>15</v>
      </c>
      <c r="B7" s="60" t="s">
        <v>12</v>
      </c>
      <c r="C7" s="60" t="s">
        <v>13</v>
      </c>
      <c r="D7" s="61" t="s">
        <v>14</v>
      </c>
      <c r="E7" s="320">
        <v>10872</v>
      </c>
      <c r="F7" s="9">
        <v>634</v>
      </c>
      <c r="G7" s="321">
        <f>F7/E7*100</f>
        <v>5.8314937454010298</v>
      </c>
      <c r="H7" s="2">
        <f>IF(G7&gt;10,0,1-(G7/100))</f>
        <v>0.94168506254598972</v>
      </c>
      <c r="I7" s="322">
        <f>H7*5</f>
        <v>4.7084253127299487</v>
      </c>
    </row>
    <row r="8" spans="1:173" x14ac:dyDescent="0.25">
      <c r="A8" s="60" t="s">
        <v>16</v>
      </c>
      <c r="B8" s="60" t="s">
        <v>22</v>
      </c>
      <c r="C8" s="60" t="s">
        <v>23</v>
      </c>
      <c r="D8" s="61" t="s">
        <v>24</v>
      </c>
      <c r="E8" s="320">
        <v>397</v>
      </c>
      <c r="F8" s="9">
        <v>12</v>
      </c>
      <c r="G8" s="323">
        <f>F8/E8*100</f>
        <v>3.0226700251889169</v>
      </c>
      <c r="H8" s="2">
        <f t="shared" ref="H8:H17" si="0">IF(G8&gt;10,0,1-(G8/100))</f>
        <v>0.96977329974811088</v>
      </c>
      <c r="I8" s="322">
        <f>H8*5</f>
        <v>4.8488664987405548</v>
      </c>
    </row>
    <row r="9" spans="1:173" ht="31.5" x14ac:dyDescent="0.25">
      <c r="A9" s="60" t="s">
        <v>17</v>
      </c>
      <c r="B9" s="60" t="s">
        <v>25</v>
      </c>
      <c r="C9" s="60" t="s">
        <v>26</v>
      </c>
      <c r="D9" s="61" t="s">
        <v>27</v>
      </c>
      <c r="E9" s="320">
        <v>310</v>
      </c>
      <c r="F9" s="9">
        <v>15</v>
      </c>
      <c r="G9" s="321">
        <f t="shared" ref="G9:G17" si="1">F9/E9*100</f>
        <v>4.838709677419355</v>
      </c>
      <c r="H9" s="2">
        <f t="shared" si="0"/>
        <v>0.95161290322580649</v>
      </c>
      <c r="I9" s="322">
        <f>H9*5</f>
        <v>4.758064516129032</v>
      </c>
    </row>
    <row r="10" spans="1:173" ht="31.5" x14ac:dyDescent="0.25">
      <c r="A10" s="60" t="s">
        <v>18</v>
      </c>
      <c r="B10" s="60" t="s">
        <v>28</v>
      </c>
      <c r="C10" s="60" t="s">
        <v>29</v>
      </c>
      <c r="D10" s="61" t="s">
        <v>30</v>
      </c>
      <c r="E10" s="320">
        <v>576</v>
      </c>
      <c r="F10" s="9">
        <v>16</v>
      </c>
      <c r="G10" s="323">
        <f t="shared" si="1"/>
        <v>2.7777777777777777</v>
      </c>
      <c r="H10" s="2">
        <f t="shared" si="0"/>
        <v>0.97222222222222221</v>
      </c>
      <c r="I10" s="322">
        <f t="shared" ref="I10:I17" si="2">H10*5</f>
        <v>4.8611111111111107</v>
      </c>
    </row>
    <row r="11" spans="1:173" ht="19.5" customHeight="1" x14ac:dyDescent="0.25">
      <c r="A11" s="60" t="s">
        <v>19</v>
      </c>
      <c r="B11" s="60" t="s">
        <v>31</v>
      </c>
      <c r="C11" s="60" t="s">
        <v>32</v>
      </c>
      <c r="D11" s="61" t="s">
        <v>33</v>
      </c>
      <c r="E11" s="320">
        <v>232</v>
      </c>
      <c r="F11" s="9">
        <v>3</v>
      </c>
      <c r="G11" s="323">
        <f t="shared" si="1"/>
        <v>1.2931034482758621</v>
      </c>
      <c r="H11" s="2">
        <f t="shared" si="0"/>
        <v>0.98706896551724133</v>
      </c>
      <c r="I11" s="322">
        <f t="shared" si="2"/>
        <v>4.9353448275862064</v>
      </c>
    </row>
    <row r="12" spans="1:173" x14ac:dyDescent="0.25">
      <c r="A12" s="60" t="s">
        <v>20</v>
      </c>
      <c r="B12" s="60" t="s">
        <v>34</v>
      </c>
      <c r="C12" s="60" t="s">
        <v>35</v>
      </c>
      <c r="D12" s="61" t="s">
        <v>36</v>
      </c>
      <c r="E12" s="320">
        <v>1161</v>
      </c>
      <c r="F12" s="9">
        <v>19</v>
      </c>
      <c r="G12" s="323">
        <f t="shared" si="1"/>
        <v>1.6365202411714039</v>
      </c>
      <c r="H12" s="2">
        <f>IF(G12&gt;10,0,1-(G12/100))</f>
        <v>0.98363479758828598</v>
      </c>
      <c r="I12" s="322">
        <f t="shared" si="2"/>
        <v>4.9181739879414295</v>
      </c>
    </row>
    <row r="13" spans="1:173" x14ac:dyDescent="0.25">
      <c r="A13" s="60" t="s">
        <v>21</v>
      </c>
      <c r="B13" s="60" t="s">
        <v>40</v>
      </c>
      <c r="C13" s="60" t="s">
        <v>38</v>
      </c>
      <c r="D13" s="61" t="s">
        <v>39</v>
      </c>
      <c r="E13" s="320">
        <v>109918</v>
      </c>
      <c r="F13" s="9">
        <v>2742</v>
      </c>
      <c r="G13" s="323">
        <f t="shared" si="1"/>
        <v>2.4945868738514165</v>
      </c>
      <c r="H13" s="2">
        <f t="shared" si="0"/>
        <v>0.97505413126148588</v>
      </c>
      <c r="I13" s="322">
        <f t="shared" si="2"/>
        <v>4.8752706563074293</v>
      </c>
    </row>
    <row r="14" spans="1:173" x14ac:dyDescent="0.25">
      <c r="A14" s="309">
        <v>9</v>
      </c>
      <c r="B14" s="60" t="s">
        <v>41</v>
      </c>
      <c r="C14" s="60" t="s">
        <v>42</v>
      </c>
      <c r="D14" s="61" t="s">
        <v>43</v>
      </c>
      <c r="E14" s="320">
        <v>6340</v>
      </c>
      <c r="F14" s="9">
        <v>163</v>
      </c>
      <c r="G14" s="323">
        <f t="shared" si="1"/>
        <v>2.5709779179810726</v>
      </c>
      <c r="H14" s="2">
        <f t="shared" si="0"/>
        <v>0.97429022082018923</v>
      </c>
      <c r="I14" s="322">
        <f t="shared" si="2"/>
        <v>4.8714511041009461</v>
      </c>
    </row>
    <row r="15" spans="1:173" x14ac:dyDescent="0.25">
      <c r="A15" s="309">
        <v>10</v>
      </c>
      <c r="B15" s="60" t="s">
        <v>44</v>
      </c>
      <c r="C15" s="60" t="s">
        <v>45</v>
      </c>
      <c r="D15" s="61" t="s">
        <v>46</v>
      </c>
      <c r="E15" s="320">
        <v>975</v>
      </c>
      <c r="F15" s="9">
        <v>44</v>
      </c>
      <c r="G15" s="321">
        <f t="shared" si="1"/>
        <v>4.5128205128205128</v>
      </c>
      <c r="H15" s="2">
        <f t="shared" si="0"/>
        <v>0.95487179487179485</v>
      </c>
      <c r="I15" s="322">
        <f t="shared" si="2"/>
        <v>4.7743589743589743</v>
      </c>
    </row>
    <row r="16" spans="1:173" x14ac:dyDescent="0.25">
      <c r="A16" s="309">
        <v>11</v>
      </c>
      <c r="B16" s="60" t="s">
        <v>47</v>
      </c>
      <c r="C16" s="60" t="s">
        <v>48</v>
      </c>
      <c r="D16" s="61" t="s">
        <v>49</v>
      </c>
      <c r="E16" s="320">
        <v>1018</v>
      </c>
      <c r="F16" s="9">
        <v>41</v>
      </c>
      <c r="G16" s="321">
        <f t="shared" si="1"/>
        <v>4.0275049115913557</v>
      </c>
      <c r="H16" s="2">
        <f t="shared" si="0"/>
        <v>0.95972495088408649</v>
      </c>
      <c r="I16" s="322">
        <f t="shared" si="2"/>
        <v>4.7986247544204321</v>
      </c>
    </row>
    <row r="17" spans="1:9" x14ac:dyDescent="0.25">
      <c r="A17" s="60" t="s">
        <v>37</v>
      </c>
      <c r="B17" s="60" t="s">
        <v>50</v>
      </c>
      <c r="C17" s="60" t="s">
        <v>51</v>
      </c>
      <c r="D17" s="61" t="s">
        <v>52</v>
      </c>
      <c r="E17" s="320">
        <v>5384</v>
      </c>
      <c r="F17" s="9">
        <v>412</v>
      </c>
      <c r="G17" s="321">
        <f t="shared" si="1"/>
        <v>7.6523031203566125</v>
      </c>
      <c r="H17" s="2">
        <f t="shared" si="0"/>
        <v>0.92347696879643393</v>
      </c>
      <c r="I17" s="322">
        <f t="shared" si="2"/>
        <v>4.6173848439821699</v>
      </c>
    </row>
    <row r="18" spans="1:9" s="66" customFormat="1" x14ac:dyDescent="0.25">
      <c r="A18" s="310" t="s">
        <v>37</v>
      </c>
      <c r="B18" s="310"/>
      <c r="C18" s="310"/>
      <c r="D18" s="311" t="s">
        <v>58</v>
      </c>
      <c r="E18" s="308">
        <f>E6+E7+E8+E9+E10+E11+E12+E13+E14+E15+E16+E17</f>
        <v>137530</v>
      </c>
      <c r="F18" s="308">
        <f>F6+F7+F8+F9+F10+F11+F12+F13+F14+F15+F16+F17</f>
        <v>4108</v>
      </c>
      <c r="G18" s="312">
        <f>SUM(G6:G17)</f>
        <v>42.675759318117741</v>
      </c>
      <c r="H18" s="312"/>
      <c r="I18" s="313"/>
    </row>
    <row r="19" spans="1:9" ht="15.6" x14ac:dyDescent="0.3">
      <c r="H19" s="82"/>
    </row>
    <row r="21" spans="1:9" x14ac:dyDescent="0.25">
      <c r="A21" s="396" t="s">
        <v>89</v>
      </c>
      <c r="B21" s="396"/>
      <c r="C21" s="396"/>
      <c r="D21" s="396"/>
      <c r="E21" s="396"/>
      <c r="F21" s="396"/>
    </row>
    <row r="22" spans="1:9" ht="15.6" x14ac:dyDescent="0.3">
      <c r="A22" s="446"/>
      <c r="B22" s="396"/>
      <c r="C22" s="447"/>
    </row>
    <row r="29" spans="1:9" x14ac:dyDescent="0.25">
      <c r="E29" s="68"/>
    </row>
    <row r="31" spans="1:9" x14ac:dyDescent="0.25">
      <c r="A31" s="69"/>
      <c r="B31" s="69"/>
      <c r="D31" s="50"/>
    </row>
  </sheetData>
  <mergeCells count="7">
    <mergeCell ref="A21:F21"/>
    <mergeCell ref="A22:C22"/>
    <mergeCell ref="A1:I1"/>
    <mergeCell ref="E2:F2"/>
    <mergeCell ref="E3:F3"/>
    <mergeCell ref="I3:I5"/>
    <mergeCell ref="H3:H5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3"/>
  <sheetViews>
    <sheetView zoomScale="110" zoomScaleNormal="110" workbookViewId="0">
      <selection activeCell="K27" sqref="K27"/>
    </sheetView>
  </sheetViews>
  <sheetFormatPr defaultColWidth="9.140625" defaultRowHeight="15.75" x14ac:dyDescent="0.25"/>
  <cols>
    <col min="1" max="1" width="3.85546875" style="24" customWidth="1"/>
    <col min="2" max="2" width="5.28515625" style="24" customWidth="1"/>
    <col min="3" max="3" width="14" style="24" customWidth="1"/>
    <col min="4" max="4" width="62.42578125" style="24" customWidth="1"/>
    <col min="5" max="5" width="11.5703125" style="24" customWidth="1"/>
    <col min="6" max="6" width="11.5703125" style="17" customWidth="1"/>
    <col min="7" max="7" width="16.28515625" style="17" customWidth="1"/>
    <col min="8" max="8" width="18.42578125" style="17" customWidth="1"/>
    <col min="9" max="9" width="12.140625" style="17" customWidth="1"/>
    <col min="10" max="16384" width="9.140625" style="24"/>
  </cols>
  <sheetData>
    <row r="1" spans="1:9" ht="36" customHeight="1" x14ac:dyDescent="0.25">
      <c r="A1" s="390" t="s">
        <v>83</v>
      </c>
      <c r="B1" s="391"/>
      <c r="C1" s="391"/>
      <c r="D1" s="391"/>
      <c r="E1" s="391"/>
      <c r="F1" s="391"/>
      <c r="G1" s="391"/>
      <c r="H1" s="391"/>
      <c r="I1" s="391"/>
    </row>
    <row r="2" spans="1:9" ht="16.5" thickBot="1" x14ac:dyDescent="0.3">
      <c r="D2" s="137" t="s">
        <v>75</v>
      </c>
      <c r="E2" s="392" t="s">
        <v>201</v>
      </c>
      <c r="F2" s="392"/>
    </row>
    <row r="3" spans="1:9" ht="50.25" customHeight="1" thickBot="1" x14ac:dyDescent="0.3">
      <c r="A3" s="25" t="s">
        <v>0</v>
      </c>
      <c r="B3" s="8"/>
      <c r="C3" s="8" t="s">
        <v>1</v>
      </c>
      <c r="D3" s="8" t="s">
        <v>2</v>
      </c>
      <c r="E3" s="452" t="s">
        <v>3</v>
      </c>
      <c r="F3" s="452"/>
      <c r="G3" s="3"/>
      <c r="H3" s="3"/>
      <c r="I3" s="453" t="s">
        <v>57</v>
      </c>
    </row>
    <row r="4" spans="1:9" ht="32.25" customHeight="1" thickBot="1" x14ac:dyDescent="0.3">
      <c r="A4" s="27"/>
      <c r="B4" s="12"/>
      <c r="C4" s="12"/>
      <c r="D4" s="12"/>
      <c r="E4" s="12" t="s">
        <v>4</v>
      </c>
      <c r="F4" s="13" t="s">
        <v>5</v>
      </c>
      <c r="G4" s="14" t="s">
        <v>79</v>
      </c>
      <c r="H4" s="42" t="s">
        <v>72</v>
      </c>
      <c r="I4" s="454"/>
    </row>
    <row r="5" spans="1:9" ht="51.75" customHeight="1" thickBot="1" x14ac:dyDescent="0.3">
      <c r="A5" s="44"/>
      <c r="B5" s="45"/>
      <c r="C5" s="45"/>
      <c r="D5" s="45"/>
      <c r="E5" s="45" t="s">
        <v>6</v>
      </c>
      <c r="F5" s="46" t="s">
        <v>7</v>
      </c>
      <c r="G5" s="47" t="s">
        <v>56</v>
      </c>
      <c r="H5" s="48" t="s">
        <v>86</v>
      </c>
      <c r="I5" s="455"/>
    </row>
    <row r="6" spans="1:9" x14ac:dyDescent="0.25">
      <c r="A6" s="28" t="s">
        <v>8</v>
      </c>
      <c r="B6" s="29" t="s">
        <v>9</v>
      </c>
      <c r="C6" s="29" t="s">
        <v>10</v>
      </c>
      <c r="D6" s="30" t="s">
        <v>11</v>
      </c>
      <c r="E6" s="5">
        <v>3</v>
      </c>
      <c r="F6" s="10">
        <v>0</v>
      </c>
      <c r="G6" s="6">
        <f>(F6/E6)*100</f>
        <v>0</v>
      </c>
      <c r="H6" s="150">
        <f>IF(G6&gt;10,0,(1-G6/100))</f>
        <v>1</v>
      </c>
      <c r="I6" s="7">
        <f>H6*5</f>
        <v>5</v>
      </c>
    </row>
    <row r="7" spans="1:9" x14ac:dyDescent="0.25">
      <c r="A7" s="31" t="s">
        <v>15</v>
      </c>
      <c r="B7" s="32" t="s">
        <v>12</v>
      </c>
      <c r="C7" s="32" t="s">
        <v>13</v>
      </c>
      <c r="D7" s="33" t="s">
        <v>14</v>
      </c>
      <c r="E7" s="1">
        <v>179</v>
      </c>
      <c r="F7" s="9">
        <v>29</v>
      </c>
      <c r="G7" s="4">
        <f>(F7/E7)*100</f>
        <v>16.201117318435752</v>
      </c>
      <c r="H7" s="150">
        <f t="shared" ref="H7:H17" si="0">IF(G7&gt;10,0,(1-G7/100))</f>
        <v>0</v>
      </c>
      <c r="I7" s="11">
        <f>H7*5</f>
        <v>0</v>
      </c>
    </row>
    <row r="8" spans="1:9" x14ac:dyDescent="0.25">
      <c r="A8" s="31" t="s">
        <v>16</v>
      </c>
      <c r="B8" s="32" t="s">
        <v>22</v>
      </c>
      <c r="C8" s="32" t="s">
        <v>23</v>
      </c>
      <c r="D8" s="33" t="s">
        <v>24</v>
      </c>
      <c r="E8" s="1">
        <v>8</v>
      </c>
      <c r="F8" s="9">
        <v>0</v>
      </c>
      <c r="G8" s="81">
        <f t="shared" ref="G8:G17" si="1">(F8/E8)*100</f>
        <v>0</v>
      </c>
      <c r="H8" s="150">
        <f t="shared" si="0"/>
        <v>1</v>
      </c>
      <c r="I8" s="11">
        <f t="shared" ref="I8:I17" si="2">H8*5</f>
        <v>5</v>
      </c>
    </row>
    <row r="9" spans="1:9" ht="20.25" customHeight="1" x14ac:dyDescent="0.25">
      <c r="A9" s="31" t="s">
        <v>17</v>
      </c>
      <c r="B9" s="32" t="s">
        <v>25</v>
      </c>
      <c r="C9" s="32" t="s">
        <v>26</v>
      </c>
      <c r="D9" s="33" t="s">
        <v>27</v>
      </c>
      <c r="E9" s="1">
        <v>4</v>
      </c>
      <c r="F9" s="9">
        <v>0</v>
      </c>
      <c r="G9" s="81">
        <f t="shared" si="1"/>
        <v>0</v>
      </c>
      <c r="H9" s="150">
        <f t="shared" si="0"/>
        <v>1</v>
      </c>
      <c r="I9" s="11">
        <f>H9*5</f>
        <v>5</v>
      </c>
    </row>
    <row r="10" spans="1:9" ht="31.5" x14ac:dyDescent="0.25">
      <c r="A10" s="31" t="s">
        <v>18</v>
      </c>
      <c r="B10" s="32" t="s">
        <v>28</v>
      </c>
      <c r="C10" s="32" t="s">
        <v>29</v>
      </c>
      <c r="D10" s="33" t="s">
        <v>30</v>
      </c>
      <c r="E10" s="1">
        <v>4</v>
      </c>
      <c r="F10" s="9">
        <v>0</v>
      </c>
      <c r="G10" s="81">
        <f t="shared" si="1"/>
        <v>0</v>
      </c>
      <c r="H10" s="150">
        <f t="shared" si="0"/>
        <v>1</v>
      </c>
      <c r="I10" s="11">
        <f t="shared" si="2"/>
        <v>5</v>
      </c>
    </row>
    <row r="11" spans="1:9" ht="18" customHeight="1" x14ac:dyDescent="0.25">
      <c r="A11" s="31" t="s">
        <v>19</v>
      </c>
      <c r="B11" s="32" t="s">
        <v>31</v>
      </c>
      <c r="C11" s="32" t="s">
        <v>32</v>
      </c>
      <c r="D11" s="33" t="s">
        <v>33</v>
      </c>
      <c r="E11" s="1">
        <v>3</v>
      </c>
      <c r="F11" s="9">
        <v>0</v>
      </c>
      <c r="G11" s="81">
        <f t="shared" si="1"/>
        <v>0</v>
      </c>
      <c r="H11" s="150">
        <f t="shared" si="0"/>
        <v>1</v>
      </c>
      <c r="I11" s="11">
        <f t="shared" si="2"/>
        <v>5</v>
      </c>
    </row>
    <row r="12" spans="1:9" x14ac:dyDescent="0.25">
      <c r="A12" s="31" t="s">
        <v>20</v>
      </c>
      <c r="B12" s="32" t="s">
        <v>34</v>
      </c>
      <c r="C12" s="32" t="s">
        <v>35</v>
      </c>
      <c r="D12" s="33" t="s">
        <v>36</v>
      </c>
      <c r="E12" s="1">
        <v>64</v>
      </c>
      <c r="F12" s="9">
        <v>20</v>
      </c>
      <c r="G12" s="4">
        <f>(F12/E12)*100</f>
        <v>31.25</v>
      </c>
      <c r="H12" s="150">
        <f t="shared" si="0"/>
        <v>0</v>
      </c>
      <c r="I12" s="11">
        <f>H12*5</f>
        <v>0</v>
      </c>
    </row>
    <row r="13" spans="1:9" x14ac:dyDescent="0.25">
      <c r="A13" s="31" t="s">
        <v>21</v>
      </c>
      <c r="B13" s="32" t="s">
        <v>40</v>
      </c>
      <c r="C13" s="32" t="s">
        <v>38</v>
      </c>
      <c r="D13" s="33" t="s">
        <v>39</v>
      </c>
      <c r="E13" s="1">
        <v>1901</v>
      </c>
      <c r="F13" s="9">
        <v>68</v>
      </c>
      <c r="G13" s="81">
        <f t="shared" si="1"/>
        <v>3.577064702788006</v>
      </c>
      <c r="H13" s="150">
        <f>IF(G13&gt;10,0,(1-G13/100))</f>
        <v>0.96422935297211998</v>
      </c>
      <c r="I13" s="11">
        <f>H13*5</f>
        <v>4.8211467648606003</v>
      </c>
    </row>
    <row r="14" spans="1:9" x14ac:dyDescent="0.25">
      <c r="A14" s="34">
        <v>9</v>
      </c>
      <c r="B14" s="32" t="s">
        <v>41</v>
      </c>
      <c r="C14" s="32" t="s">
        <v>42</v>
      </c>
      <c r="D14" s="33" t="s">
        <v>43</v>
      </c>
      <c r="E14" s="1">
        <v>67</v>
      </c>
      <c r="F14" s="9">
        <v>12</v>
      </c>
      <c r="G14" s="4">
        <f>(F14/E14)*100</f>
        <v>17.910447761194028</v>
      </c>
      <c r="H14" s="150">
        <f t="shared" si="0"/>
        <v>0</v>
      </c>
      <c r="I14" s="11">
        <f t="shared" si="2"/>
        <v>0</v>
      </c>
    </row>
    <row r="15" spans="1:9" x14ac:dyDescent="0.25">
      <c r="A15" s="34">
        <v>10</v>
      </c>
      <c r="B15" s="32" t="s">
        <v>44</v>
      </c>
      <c r="C15" s="32" t="s">
        <v>45</v>
      </c>
      <c r="D15" s="33" t="s">
        <v>46</v>
      </c>
      <c r="E15" s="1">
        <v>59</v>
      </c>
      <c r="F15" s="9">
        <v>8</v>
      </c>
      <c r="G15" s="4">
        <f t="shared" si="1"/>
        <v>13.559322033898304</v>
      </c>
      <c r="H15" s="150">
        <f t="shared" si="0"/>
        <v>0</v>
      </c>
      <c r="I15" s="11">
        <f t="shared" si="2"/>
        <v>0</v>
      </c>
    </row>
    <row r="16" spans="1:9" x14ac:dyDescent="0.25">
      <c r="A16" s="34">
        <v>11</v>
      </c>
      <c r="B16" s="32" t="s">
        <v>47</v>
      </c>
      <c r="C16" s="32" t="s">
        <v>48</v>
      </c>
      <c r="D16" s="33" t="s">
        <v>49</v>
      </c>
      <c r="E16" s="1">
        <v>9</v>
      </c>
      <c r="F16" s="9">
        <v>2</v>
      </c>
      <c r="G16" s="4">
        <f t="shared" si="1"/>
        <v>22.222222222222221</v>
      </c>
      <c r="H16" s="150">
        <f t="shared" si="0"/>
        <v>0</v>
      </c>
      <c r="I16" s="11">
        <f t="shared" si="2"/>
        <v>0</v>
      </c>
    </row>
    <row r="17" spans="1:9" ht="18" customHeight="1" x14ac:dyDescent="0.25">
      <c r="A17" s="31" t="s">
        <v>37</v>
      </c>
      <c r="B17" s="32" t="s">
        <v>50</v>
      </c>
      <c r="C17" s="32" t="s">
        <v>51</v>
      </c>
      <c r="D17" s="33" t="s">
        <v>52</v>
      </c>
      <c r="E17" s="1">
        <v>8</v>
      </c>
      <c r="F17" s="9">
        <v>2</v>
      </c>
      <c r="G17" s="4">
        <f t="shared" si="1"/>
        <v>25</v>
      </c>
      <c r="H17" s="150">
        <f t="shared" si="0"/>
        <v>0</v>
      </c>
      <c r="I17" s="11">
        <f t="shared" si="2"/>
        <v>0</v>
      </c>
    </row>
    <row r="18" spans="1:9" s="38" customFormat="1" ht="16.5" thickBot="1" x14ac:dyDescent="0.3">
      <c r="A18" s="35" t="s">
        <v>37</v>
      </c>
      <c r="B18" s="36"/>
      <c r="C18" s="36"/>
      <c r="D18" s="37" t="s">
        <v>58</v>
      </c>
      <c r="E18" s="19">
        <f>E6+E7+E8+E9+E10+E11+E12+E13+E14+E15+E16+E17</f>
        <v>2309</v>
      </c>
      <c r="F18" s="20">
        <f>F6+F7+F8+F9+F10+F11+F12+F13+F14+F15+F16+F17</f>
        <v>141</v>
      </c>
      <c r="G18" s="21">
        <f>SUM(G6:G17)</f>
        <v>129.72017403853832</v>
      </c>
      <c r="H18" s="22"/>
      <c r="I18" s="23">
        <f>SUM(I6:I17)/12</f>
        <v>2.4850955637383834</v>
      </c>
    </row>
    <row r="19" spans="1:9" x14ac:dyDescent="0.25">
      <c r="A19" s="15"/>
      <c r="B19" s="15"/>
      <c r="C19" s="15"/>
      <c r="D19" s="15"/>
      <c r="E19" s="15"/>
    </row>
    <row r="20" spans="1:9" x14ac:dyDescent="0.25">
      <c r="A20" s="15"/>
      <c r="B20" s="15"/>
      <c r="C20" s="15"/>
      <c r="D20" s="15" t="s">
        <v>55</v>
      </c>
      <c r="E20" s="16"/>
      <c r="G20" s="18">
        <f>G18/A18</f>
        <v>10.810014503211526</v>
      </c>
    </row>
    <row r="21" spans="1:9" x14ac:dyDescent="0.25">
      <c r="A21" s="15"/>
      <c r="B21" s="15"/>
      <c r="C21" s="15"/>
      <c r="D21" s="15"/>
      <c r="E21" s="39"/>
    </row>
    <row r="22" spans="1:9" s="17" customFormat="1" x14ac:dyDescent="0.25">
      <c r="A22" s="396" t="s">
        <v>89</v>
      </c>
      <c r="B22" s="396"/>
      <c r="C22" s="396"/>
      <c r="D22" s="396"/>
      <c r="E22" s="396"/>
      <c r="F22" s="396"/>
      <c r="G22" s="396"/>
      <c r="H22" s="396"/>
      <c r="I22" s="396"/>
    </row>
    <row r="23" spans="1:9" s="17" customFormat="1" x14ac:dyDescent="0.25">
      <c r="A23" s="387">
        <v>44284</v>
      </c>
      <c r="B23" s="388"/>
      <c r="C23" s="389"/>
    </row>
    <row r="24" spans="1:9" x14ac:dyDescent="0.25">
      <c r="A24" s="15"/>
      <c r="B24" s="15"/>
      <c r="C24" s="15"/>
      <c r="D24" s="15"/>
      <c r="E24" s="15"/>
    </row>
    <row r="25" spans="1:9" x14ac:dyDescent="0.25">
      <c r="A25" s="15"/>
      <c r="B25" s="15"/>
      <c r="C25" s="15"/>
      <c r="D25" s="15"/>
      <c r="E25" s="15"/>
    </row>
    <row r="26" spans="1:9" x14ac:dyDescent="0.25">
      <c r="A26" s="15"/>
      <c r="B26" s="15"/>
      <c r="C26" s="15"/>
      <c r="D26" s="15"/>
      <c r="E26" s="15"/>
    </row>
    <row r="31" spans="1:9" x14ac:dyDescent="0.25">
      <c r="E31" s="40"/>
    </row>
    <row r="33" spans="1:5" x14ac:dyDescent="0.25">
      <c r="A33" s="41"/>
      <c r="B33" s="41"/>
      <c r="C33" s="15"/>
      <c r="D33" s="26"/>
      <c r="E33" s="15"/>
    </row>
  </sheetData>
  <mergeCells count="6">
    <mergeCell ref="A23:C23"/>
    <mergeCell ref="E3:F3"/>
    <mergeCell ref="E2:F2"/>
    <mergeCell ref="I3:I5"/>
    <mergeCell ref="A1:I1"/>
    <mergeCell ref="A22:I2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view="pageBreakPreview" zoomScale="82" zoomScaleNormal="100" zoomScaleSheetLayoutView="82" workbookViewId="0">
      <selection activeCell="I28" sqref="I28"/>
    </sheetView>
  </sheetViews>
  <sheetFormatPr defaultColWidth="22.28515625" defaultRowHeight="15" x14ac:dyDescent="0.25"/>
  <cols>
    <col min="1" max="1" width="7.5703125" customWidth="1"/>
    <col min="2" max="2" width="8.42578125" customWidth="1"/>
    <col min="3" max="3" width="15.140625" customWidth="1"/>
    <col min="5" max="5" width="17.85546875" customWidth="1"/>
    <col min="7" max="7" width="20.140625" customWidth="1"/>
    <col min="8" max="8" width="20.7109375" customWidth="1"/>
    <col min="9" max="9" width="19.28515625" customWidth="1"/>
  </cols>
  <sheetData>
    <row r="1" spans="1:9" ht="19.149999999999999" customHeight="1" x14ac:dyDescent="0.25">
      <c r="A1" s="390" t="s">
        <v>93</v>
      </c>
      <c r="B1" s="391"/>
      <c r="C1" s="391"/>
      <c r="D1" s="391"/>
      <c r="E1" s="391"/>
      <c r="F1" s="391"/>
      <c r="G1" s="391"/>
      <c r="H1" s="391"/>
      <c r="I1" s="391"/>
    </row>
    <row r="2" spans="1:9" ht="36" customHeight="1" x14ac:dyDescent="0.25">
      <c r="A2" s="457" t="s">
        <v>0</v>
      </c>
      <c r="B2" s="457" t="s">
        <v>109</v>
      </c>
      <c r="C2" s="457" t="s">
        <v>1</v>
      </c>
      <c r="D2" s="457" t="s">
        <v>2</v>
      </c>
      <c r="E2" s="457" t="s">
        <v>221</v>
      </c>
      <c r="F2" s="457"/>
      <c r="G2" s="450" t="s">
        <v>79</v>
      </c>
      <c r="H2" s="450" t="s">
        <v>71</v>
      </c>
      <c r="I2" s="451" t="s">
        <v>57</v>
      </c>
    </row>
    <row r="3" spans="1:9" ht="19.149999999999999" customHeight="1" x14ac:dyDescent="0.25">
      <c r="A3" s="457"/>
      <c r="B3" s="457"/>
      <c r="C3" s="457"/>
      <c r="D3" s="457"/>
      <c r="E3" s="200" t="s">
        <v>94</v>
      </c>
      <c r="F3" s="199" t="s">
        <v>95</v>
      </c>
      <c r="G3" s="450"/>
      <c r="H3" s="450"/>
      <c r="I3" s="458"/>
    </row>
    <row r="4" spans="1:9" ht="49.15" customHeight="1" x14ac:dyDescent="0.25">
      <c r="A4" s="457"/>
      <c r="B4" s="457"/>
      <c r="C4" s="457"/>
      <c r="D4" s="457"/>
      <c r="E4" s="200" t="s">
        <v>96</v>
      </c>
      <c r="F4" s="199" t="s">
        <v>97</v>
      </c>
      <c r="G4" s="199" t="s">
        <v>98</v>
      </c>
      <c r="H4" s="264" t="s">
        <v>100</v>
      </c>
      <c r="I4" s="458"/>
    </row>
    <row r="5" spans="1:9" ht="30" customHeight="1" x14ac:dyDescent="0.25">
      <c r="A5" s="185" t="s">
        <v>8</v>
      </c>
      <c r="B5" s="185" t="s">
        <v>9</v>
      </c>
      <c r="C5" s="185" t="s">
        <v>10</v>
      </c>
      <c r="D5" s="189" t="s">
        <v>11</v>
      </c>
      <c r="E5" s="177">
        <v>0</v>
      </c>
      <c r="F5" s="177">
        <v>0</v>
      </c>
      <c r="G5" s="150" t="s">
        <v>99</v>
      </c>
      <c r="H5" s="150">
        <v>1</v>
      </c>
      <c r="I5" s="190">
        <f>H5*5</f>
        <v>5</v>
      </c>
    </row>
    <row r="6" spans="1:9" ht="25.5" x14ac:dyDescent="0.25">
      <c r="A6" s="185" t="s">
        <v>15</v>
      </c>
      <c r="B6" s="185" t="s">
        <v>12</v>
      </c>
      <c r="C6" s="185" t="s">
        <v>13</v>
      </c>
      <c r="D6" s="189" t="s">
        <v>14</v>
      </c>
      <c r="E6" s="177">
        <v>135189100</v>
      </c>
      <c r="F6" s="177">
        <v>127507340.91</v>
      </c>
      <c r="G6" s="150">
        <f>(F6/E6)*100</f>
        <v>94.317767416160024</v>
      </c>
      <c r="H6" s="150">
        <v>1</v>
      </c>
      <c r="I6" s="190">
        <f>H6*5</f>
        <v>5</v>
      </c>
    </row>
    <row r="7" spans="1:9" ht="25.5" x14ac:dyDescent="0.25">
      <c r="A7" s="185" t="s">
        <v>16</v>
      </c>
      <c r="B7" s="185" t="s">
        <v>22</v>
      </c>
      <c r="C7" s="185" t="s">
        <v>23</v>
      </c>
      <c r="D7" s="189" t="s">
        <v>24</v>
      </c>
      <c r="E7" s="177">
        <v>0</v>
      </c>
      <c r="F7" s="177">
        <v>0</v>
      </c>
      <c r="G7" s="150" t="s">
        <v>99</v>
      </c>
      <c r="H7" s="150">
        <v>1</v>
      </c>
      <c r="I7" s="190">
        <f t="shared" ref="I7:I16" si="0">H7*5</f>
        <v>5</v>
      </c>
    </row>
    <row r="8" spans="1:9" ht="29.45" customHeight="1" x14ac:dyDescent="0.25">
      <c r="A8" s="185" t="s">
        <v>17</v>
      </c>
      <c r="B8" s="185" t="s">
        <v>25</v>
      </c>
      <c r="C8" s="185" t="s">
        <v>26</v>
      </c>
      <c r="D8" s="189" t="s">
        <v>27</v>
      </c>
      <c r="E8" s="177">
        <v>0</v>
      </c>
      <c r="F8" s="177">
        <v>0</v>
      </c>
      <c r="G8" s="150" t="s">
        <v>99</v>
      </c>
      <c r="H8" s="150">
        <v>1</v>
      </c>
      <c r="I8" s="190">
        <f t="shared" si="0"/>
        <v>5</v>
      </c>
    </row>
    <row r="9" spans="1:9" ht="41.45" customHeight="1" x14ac:dyDescent="0.25">
      <c r="A9" s="185" t="s">
        <v>18</v>
      </c>
      <c r="B9" s="185" t="s">
        <v>28</v>
      </c>
      <c r="C9" s="185" t="s">
        <v>29</v>
      </c>
      <c r="D9" s="189" t="s">
        <v>30</v>
      </c>
      <c r="E9" s="177">
        <v>0</v>
      </c>
      <c r="F9" s="177">
        <v>0</v>
      </c>
      <c r="G9" s="150" t="s">
        <v>99</v>
      </c>
      <c r="H9" s="150">
        <v>1</v>
      </c>
      <c r="I9" s="190">
        <f t="shared" si="0"/>
        <v>5</v>
      </c>
    </row>
    <row r="10" spans="1:9" ht="44.45" customHeight="1" x14ac:dyDescent="0.25">
      <c r="A10" s="185" t="s">
        <v>19</v>
      </c>
      <c r="B10" s="185" t="s">
        <v>31</v>
      </c>
      <c r="C10" s="185" t="s">
        <v>32</v>
      </c>
      <c r="D10" s="189" t="s">
        <v>33</v>
      </c>
      <c r="E10" s="177">
        <v>0</v>
      </c>
      <c r="F10" s="177">
        <v>0</v>
      </c>
      <c r="G10" s="150" t="s">
        <v>99</v>
      </c>
      <c r="H10" s="150">
        <v>1</v>
      </c>
      <c r="I10" s="190">
        <f t="shared" si="0"/>
        <v>5</v>
      </c>
    </row>
    <row r="11" spans="1:9" ht="15.75" x14ac:dyDescent="0.25">
      <c r="A11" s="185" t="s">
        <v>20</v>
      </c>
      <c r="B11" s="185" t="s">
        <v>34</v>
      </c>
      <c r="C11" s="185" t="s">
        <v>35</v>
      </c>
      <c r="D11" s="189" t="s">
        <v>36</v>
      </c>
      <c r="E11" s="177">
        <v>11600000</v>
      </c>
      <c r="F11" s="177">
        <v>2087489.73</v>
      </c>
      <c r="G11" s="150">
        <f t="shared" ref="G11:G16" si="1">(F11/E11)*100</f>
        <v>17.995601120689656</v>
      </c>
      <c r="H11" s="150">
        <v>0</v>
      </c>
      <c r="I11" s="190">
        <f t="shared" si="0"/>
        <v>0</v>
      </c>
    </row>
    <row r="12" spans="1:9" ht="27" customHeight="1" x14ac:dyDescent="0.25">
      <c r="A12" s="185" t="s">
        <v>21</v>
      </c>
      <c r="B12" s="185" t="s">
        <v>40</v>
      </c>
      <c r="C12" s="185" t="s">
        <v>38</v>
      </c>
      <c r="D12" s="189" t="s">
        <v>39</v>
      </c>
      <c r="E12" s="177">
        <v>1115272500</v>
      </c>
      <c r="F12" s="177">
        <v>1095005186.3699999</v>
      </c>
      <c r="G12" s="150">
        <f t="shared" si="1"/>
        <v>98.1827478369636</v>
      </c>
      <c r="H12" s="150">
        <v>1</v>
      </c>
      <c r="I12" s="190">
        <f>H12*5</f>
        <v>5</v>
      </c>
    </row>
    <row r="13" spans="1:9" ht="25.5" x14ac:dyDescent="0.25">
      <c r="A13" s="191">
        <v>9</v>
      </c>
      <c r="B13" s="185" t="s">
        <v>41</v>
      </c>
      <c r="C13" s="185" t="s">
        <v>42</v>
      </c>
      <c r="D13" s="189" t="s">
        <v>43</v>
      </c>
      <c r="E13" s="177">
        <v>1320600</v>
      </c>
      <c r="F13" s="177">
        <v>1320600</v>
      </c>
      <c r="G13" s="150">
        <f t="shared" si="1"/>
        <v>100</v>
      </c>
      <c r="H13" s="150">
        <v>1</v>
      </c>
      <c r="I13" s="190">
        <f t="shared" si="0"/>
        <v>5</v>
      </c>
    </row>
    <row r="14" spans="1:9" ht="38.25" x14ac:dyDescent="0.25">
      <c r="A14" s="191">
        <v>10</v>
      </c>
      <c r="B14" s="185" t="s">
        <v>44</v>
      </c>
      <c r="C14" s="185" t="s">
        <v>45</v>
      </c>
      <c r="D14" s="189" t="s">
        <v>46</v>
      </c>
      <c r="E14" s="177">
        <v>999400</v>
      </c>
      <c r="F14" s="177">
        <v>999400</v>
      </c>
      <c r="G14" s="150">
        <f t="shared" si="1"/>
        <v>100</v>
      </c>
      <c r="H14" s="150">
        <v>1</v>
      </c>
      <c r="I14" s="190">
        <f t="shared" si="0"/>
        <v>5</v>
      </c>
    </row>
    <row r="15" spans="1:9" ht="27" customHeight="1" x14ac:dyDescent="0.25">
      <c r="A15" s="191">
        <v>11</v>
      </c>
      <c r="B15" s="185" t="s">
        <v>47</v>
      </c>
      <c r="C15" s="185" t="s">
        <v>48</v>
      </c>
      <c r="D15" s="189" t="s">
        <v>49</v>
      </c>
      <c r="E15" s="177">
        <v>500000</v>
      </c>
      <c r="F15" s="177">
        <v>500000</v>
      </c>
      <c r="G15" s="150">
        <f t="shared" si="1"/>
        <v>100</v>
      </c>
      <c r="H15" s="150">
        <v>1</v>
      </c>
      <c r="I15" s="190">
        <f t="shared" si="0"/>
        <v>5</v>
      </c>
    </row>
    <row r="16" spans="1:9" ht="29.45" customHeight="1" x14ac:dyDescent="0.25">
      <c r="A16" s="185" t="s">
        <v>37</v>
      </c>
      <c r="B16" s="185" t="s">
        <v>50</v>
      </c>
      <c r="C16" s="185" t="s">
        <v>51</v>
      </c>
      <c r="D16" s="189" t="s">
        <v>52</v>
      </c>
      <c r="E16" s="177">
        <v>101287200</v>
      </c>
      <c r="F16" s="177">
        <v>99282042.480000004</v>
      </c>
      <c r="G16" s="150">
        <f t="shared" si="1"/>
        <v>98.020324858422399</v>
      </c>
      <c r="H16" s="150">
        <v>1</v>
      </c>
      <c r="I16" s="190">
        <f t="shared" si="0"/>
        <v>5</v>
      </c>
    </row>
    <row r="17" spans="1:12" ht="15.75" x14ac:dyDescent="0.25">
      <c r="A17" s="459" t="s">
        <v>58</v>
      </c>
      <c r="B17" s="400"/>
      <c r="C17" s="400"/>
      <c r="D17" s="460"/>
      <c r="E17" s="278">
        <f>E5+E6+E7+E8+E9+E10+E11+E12+E13+E14+E15+E16</f>
        <v>1366168800</v>
      </c>
      <c r="F17" s="278">
        <f t="shared" ref="F17:I17" si="2">F5+F6+F7+F8+F9+F10+F11+F12+F13+F14+F15+F16</f>
        <v>1326702059.49</v>
      </c>
      <c r="G17" s="278"/>
      <c r="H17" s="285">
        <f t="shared" si="2"/>
        <v>11</v>
      </c>
      <c r="I17" s="285">
        <f t="shared" si="2"/>
        <v>55</v>
      </c>
    </row>
    <row r="18" spans="1:12" ht="15.75" x14ac:dyDescent="0.25">
      <c r="A18" s="402" t="s">
        <v>188</v>
      </c>
      <c r="B18" s="403"/>
      <c r="C18" s="403"/>
      <c r="D18" s="404"/>
      <c r="E18" s="267"/>
      <c r="F18" s="268"/>
      <c r="G18" s="276"/>
      <c r="H18" s="276">
        <f t="shared" ref="H18:I18" si="3">H17/12</f>
        <v>0.91666666666666663</v>
      </c>
      <c r="I18" s="276">
        <f t="shared" si="3"/>
        <v>4.583333333333333</v>
      </c>
    </row>
    <row r="19" spans="1:12" ht="44.45" customHeight="1" x14ac:dyDescent="0.25">
      <c r="A19" s="456" t="s">
        <v>101</v>
      </c>
      <c r="B19" s="456"/>
      <c r="C19" s="456"/>
      <c r="D19" s="456"/>
      <c r="E19" s="456"/>
      <c r="F19" s="456"/>
      <c r="G19" s="456"/>
      <c r="H19" s="456"/>
      <c r="I19" s="456"/>
      <c r="J19" s="187"/>
      <c r="K19" s="187"/>
      <c r="L19" s="187"/>
    </row>
    <row r="20" spans="1:12" ht="15.75" x14ac:dyDescent="0.25">
      <c r="A20" s="15"/>
      <c r="B20" s="15"/>
      <c r="C20" s="15"/>
      <c r="D20" s="15"/>
      <c r="E20" s="39"/>
      <c r="F20" s="17"/>
      <c r="G20" s="17"/>
      <c r="H20" s="17"/>
      <c r="I20" s="17"/>
    </row>
    <row r="21" spans="1:12" ht="15.75" x14ac:dyDescent="0.25">
      <c r="A21" s="396" t="s">
        <v>220</v>
      </c>
      <c r="B21" s="396"/>
      <c r="C21" s="396"/>
      <c r="D21" s="396"/>
      <c r="E21" s="396"/>
      <c r="F21" s="396"/>
      <c r="G21" s="396"/>
      <c r="H21" s="396"/>
      <c r="I21" s="396"/>
    </row>
  </sheetData>
  <mergeCells count="13">
    <mergeCell ref="A19:I19"/>
    <mergeCell ref="A1:I1"/>
    <mergeCell ref="E2:F2"/>
    <mergeCell ref="I2:I4"/>
    <mergeCell ref="A21:I21"/>
    <mergeCell ref="A2:A4"/>
    <mergeCell ref="B2:B4"/>
    <mergeCell ref="C2:C4"/>
    <mergeCell ref="D2:D4"/>
    <mergeCell ref="G2:G3"/>
    <mergeCell ref="H2:H3"/>
    <mergeCell ref="A17:D17"/>
    <mergeCell ref="A18:D18"/>
  </mergeCells>
  <pageMargins left="0.7" right="0.7" top="0.75" bottom="0.75" header="0.3" footer="0.3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T33"/>
  <sheetViews>
    <sheetView view="pageBreakPreview" zoomScale="80" zoomScaleNormal="100" zoomScaleSheetLayoutView="80" workbookViewId="0">
      <selection activeCell="M34" sqref="M34"/>
    </sheetView>
  </sheetViews>
  <sheetFormatPr defaultColWidth="9.140625" defaultRowHeight="15.75" x14ac:dyDescent="0.25"/>
  <cols>
    <col min="1" max="1" width="6.28515625" style="17" customWidth="1"/>
    <col min="2" max="2" width="7" style="17" customWidth="1"/>
    <col min="3" max="3" width="15.7109375" style="17" customWidth="1"/>
    <col min="4" max="4" width="52.42578125" style="17" customWidth="1"/>
    <col min="5" max="5" width="14.7109375" style="17" customWidth="1"/>
    <col min="6" max="6" width="19.140625" style="17" customWidth="1"/>
    <col min="7" max="7" width="11.85546875" style="17" customWidth="1"/>
    <col min="8" max="8" width="16.42578125" style="17" customWidth="1"/>
    <col min="9" max="9" width="18.5703125" style="17" customWidth="1"/>
    <col min="10" max="10" width="16" style="17" customWidth="1"/>
    <col min="11" max="11" width="14.140625" style="17" customWidth="1"/>
    <col min="12" max="12" width="12.5703125" style="17" customWidth="1"/>
    <col min="13" max="16384" width="9.140625" style="17"/>
  </cols>
  <sheetData>
    <row r="1" spans="1:176" ht="18.75" customHeight="1" thickBot="1" x14ac:dyDescent="0.3">
      <c r="A1" s="461" t="s">
        <v>119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</row>
    <row r="2" spans="1:176" ht="16.5" thickBot="1" x14ac:dyDescent="0.3">
      <c r="D2" s="210" t="s">
        <v>75</v>
      </c>
      <c r="E2" s="126" t="s">
        <v>219</v>
      </c>
      <c r="F2" s="127"/>
      <c r="G2" s="128"/>
      <c r="H2" s="462" t="s">
        <v>201</v>
      </c>
      <c r="I2" s="462"/>
    </row>
    <row r="3" spans="1:176" ht="31.5" customHeight="1" thickBot="1" x14ac:dyDescent="0.3">
      <c r="A3" s="71" t="s">
        <v>0</v>
      </c>
      <c r="B3" s="51"/>
      <c r="C3" s="52" t="s">
        <v>1</v>
      </c>
      <c r="D3" s="112" t="s">
        <v>2</v>
      </c>
      <c r="E3" s="463"/>
      <c r="F3" s="464"/>
      <c r="G3" s="117"/>
      <c r="H3" s="465"/>
      <c r="I3" s="442"/>
      <c r="J3" s="107"/>
      <c r="K3" s="443" t="s">
        <v>126</v>
      </c>
      <c r="L3" s="443" t="s">
        <v>57</v>
      </c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</row>
    <row r="4" spans="1:176" ht="48" customHeight="1" thickBot="1" x14ac:dyDescent="0.3">
      <c r="A4" s="51"/>
      <c r="B4" s="72"/>
      <c r="C4" s="72"/>
      <c r="D4" s="113"/>
      <c r="E4" s="214" t="s">
        <v>120</v>
      </c>
      <c r="F4" s="213" t="s">
        <v>121</v>
      </c>
      <c r="G4" s="134" t="s">
        <v>79</v>
      </c>
      <c r="H4" s="121" t="s">
        <v>120</v>
      </c>
      <c r="I4" s="73" t="s">
        <v>121</v>
      </c>
      <c r="J4" s="108" t="s">
        <v>79</v>
      </c>
      <c r="K4" s="466"/>
      <c r="L4" s="444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</row>
    <row r="5" spans="1:176" ht="36.75" customHeight="1" thickBot="1" x14ac:dyDescent="0.3">
      <c r="A5" s="83"/>
      <c r="B5" s="53"/>
      <c r="C5" s="53"/>
      <c r="D5" s="70"/>
      <c r="E5" s="215" t="s">
        <v>122</v>
      </c>
      <c r="F5" s="216" t="s">
        <v>123</v>
      </c>
      <c r="G5" s="217" t="s">
        <v>124</v>
      </c>
      <c r="H5" s="122" t="s">
        <v>122</v>
      </c>
      <c r="I5" s="70" t="s">
        <v>123</v>
      </c>
      <c r="J5" s="109" t="s">
        <v>124</v>
      </c>
      <c r="K5" s="467"/>
      <c r="L5" s="44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</row>
    <row r="6" spans="1:176" ht="16.5" thickBot="1" x14ac:dyDescent="0.3">
      <c r="A6" s="84" t="s">
        <v>8</v>
      </c>
      <c r="B6" s="56" t="s">
        <v>9</v>
      </c>
      <c r="C6" s="57" t="s">
        <v>10</v>
      </c>
      <c r="D6" s="114" t="s">
        <v>11</v>
      </c>
      <c r="E6" s="123">
        <v>0</v>
      </c>
      <c r="F6" s="6">
        <v>4865404.47</v>
      </c>
      <c r="G6" s="118">
        <f>E6/F6*100</f>
        <v>0</v>
      </c>
      <c r="H6" s="123">
        <v>0</v>
      </c>
      <c r="I6" s="6">
        <v>4460331.91</v>
      </c>
      <c r="J6" s="110">
        <f>H6/I6*100</f>
        <v>0</v>
      </c>
      <c r="K6" s="105">
        <f>IF(J6&gt;10,0,1-(J6/100))</f>
        <v>1</v>
      </c>
      <c r="L6" s="234">
        <v>5</v>
      </c>
    </row>
    <row r="7" spans="1:176" ht="18.75" customHeight="1" thickBot="1" x14ac:dyDescent="0.3">
      <c r="A7" s="58" t="s">
        <v>15</v>
      </c>
      <c r="B7" s="59" t="s">
        <v>12</v>
      </c>
      <c r="C7" s="60" t="s">
        <v>13</v>
      </c>
      <c r="D7" s="115" t="s">
        <v>14</v>
      </c>
      <c r="E7" s="106">
        <v>9367649.7699999996</v>
      </c>
      <c r="F7" s="2">
        <v>637256093.25</v>
      </c>
      <c r="G7" s="118">
        <f t="shared" ref="G7:G17" si="0">E7/F7*100</f>
        <v>1.4699976774211878</v>
      </c>
      <c r="H7" s="106">
        <v>9230850.2200000007</v>
      </c>
      <c r="I7" s="2">
        <v>738566033.29999995</v>
      </c>
      <c r="J7" s="110">
        <f t="shared" ref="J7:J17" si="1">H7/I7*100</f>
        <v>1.2498341114816065</v>
      </c>
      <c r="K7" s="106">
        <f>IF(J7&gt;10,0,1-(J7/100))</f>
        <v>0.98750165888518393</v>
      </c>
      <c r="L7" s="111">
        <f>K7*5</f>
        <v>4.9375082944259194</v>
      </c>
    </row>
    <row r="8" spans="1:176" ht="16.5" thickBot="1" x14ac:dyDescent="0.3">
      <c r="A8" s="58" t="s">
        <v>16</v>
      </c>
      <c r="B8" s="59" t="s">
        <v>22</v>
      </c>
      <c r="C8" s="60" t="s">
        <v>23</v>
      </c>
      <c r="D8" s="115" t="s">
        <v>24</v>
      </c>
      <c r="E8" s="124">
        <v>0</v>
      </c>
      <c r="F8" s="2">
        <v>23678952.280000001</v>
      </c>
      <c r="G8" s="118">
        <f t="shared" si="0"/>
        <v>0</v>
      </c>
      <c r="H8" s="124">
        <v>0</v>
      </c>
      <c r="I8" s="2">
        <v>24007242.289999999</v>
      </c>
      <c r="J8" s="110">
        <f t="shared" si="1"/>
        <v>0</v>
      </c>
      <c r="K8" s="106">
        <f t="shared" ref="K8:K17" si="2">IF(J8&gt;10,0,1-(J8/100))</f>
        <v>1</v>
      </c>
      <c r="L8" s="111">
        <v>5</v>
      </c>
    </row>
    <row r="9" spans="1:176" ht="32.25" thickBot="1" x14ac:dyDescent="0.3">
      <c r="A9" s="58" t="s">
        <v>17</v>
      </c>
      <c r="B9" s="59" t="s">
        <v>25</v>
      </c>
      <c r="C9" s="60" t="s">
        <v>26</v>
      </c>
      <c r="D9" s="115" t="s">
        <v>27</v>
      </c>
      <c r="E9" s="124">
        <v>0</v>
      </c>
      <c r="F9" s="2">
        <v>3343464.21</v>
      </c>
      <c r="G9" s="118">
        <f t="shared" si="0"/>
        <v>0</v>
      </c>
      <c r="H9" s="106">
        <v>0</v>
      </c>
      <c r="I9" s="2">
        <v>3862649.68</v>
      </c>
      <c r="J9" s="110">
        <f t="shared" si="1"/>
        <v>0</v>
      </c>
      <c r="K9" s="106">
        <f t="shared" si="2"/>
        <v>1</v>
      </c>
      <c r="L9" s="111">
        <v>5</v>
      </c>
    </row>
    <row r="10" spans="1:176" ht="32.25" thickBot="1" x14ac:dyDescent="0.3">
      <c r="A10" s="58" t="s">
        <v>18</v>
      </c>
      <c r="B10" s="59" t="s">
        <v>28</v>
      </c>
      <c r="C10" s="60" t="s">
        <v>29</v>
      </c>
      <c r="D10" s="115" t="s">
        <v>30</v>
      </c>
      <c r="E10" s="124">
        <v>0</v>
      </c>
      <c r="F10" s="2">
        <v>6145814.5199999996</v>
      </c>
      <c r="G10" s="118">
        <f t="shared" si="0"/>
        <v>0</v>
      </c>
      <c r="H10" s="124">
        <v>0</v>
      </c>
      <c r="I10" s="2">
        <v>6065125.2599999998</v>
      </c>
      <c r="J10" s="110">
        <f t="shared" si="1"/>
        <v>0</v>
      </c>
      <c r="K10" s="106">
        <f t="shared" si="2"/>
        <v>1</v>
      </c>
      <c r="L10" s="111">
        <v>5</v>
      </c>
    </row>
    <row r="11" spans="1:176" ht="19.5" customHeight="1" thickBot="1" x14ac:dyDescent="0.3">
      <c r="A11" s="58" t="s">
        <v>19</v>
      </c>
      <c r="B11" s="59" t="s">
        <v>31</v>
      </c>
      <c r="C11" s="60" t="s">
        <v>32</v>
      </c>
      <c r="D11" s="115" t="s">
        <v>33</v>
      </c>
      <c r="E11" s="124">
        <v>0</v>
      </c>
      <c r="F11" s="2">
        <v>4439706.37</v>
      </c>
      <c r="G11" s="118">
        <f t="shared" si="0"/>
        <v>0</v>
      </c>
      <c r="H11" s="124">
        <v>0</v>
      </c>
      <c r="I11" s="2">
        <v>4113996.31</v>
      </c>
      <c r="J11" s="110">
        <f t="shared" si="1"/>
        <v>0</v>
      </c>
      <c r="K11" s="106">
        <f t="shared" si="2"/>
        <v>1</v>
      </c>
      <c r="L11" s="111">
        <v>5</v>
      </c>
    </row>
    <row r="12" spans="1:176" ht="16.5" thickBot="1" x14ac:dyDescent="0.3">
      <c r="A12" s="58" t="s">
        <v>20</v>
      </c>
      <c r="B12" s="59" t="s">
        <v>34</v>
      </c>
      <c r="C12" s="60" t="s">
        <v>35</v>
      </c>
      <c r="D12" s="115" t="s">
        <v>36</v>
      </c>
      <c r="E12" s="106">
        <v>165649.12</v>
      </c>
      <c r="F12" s="2">
        <v>19486084.210000001</v>
      </c>
      <c r="G12" s="118">
        <f t="shared" si="0"/>
        <v>0.8500893161233033</v>
      </c>
      <c r="H12" s="106">
        <v>168077.24</v>
      </c>
      <c r="I12" s="2">
        <v>142867723.84</v>
      </c>
      <c r="J12" s="110">
        <f t="shared" si="1"/>
        <v>0.11764535437565489</v>
      </c>
      <c r="K12" s="106">
        <f t="shared" si="2"/>
        <v>0.99882354645624349</v>
      </c>
      <c r="L12" s="111">
        <v>4.95</v>
      </c>
    </row>
    <row r="13" spans="1:176" ht="16.5" thickBot="1" x14ac:dyDescent="0.3">
      <c r="A13" s="58" t="s">
        <v>21</v>
      </c>
      <c r="B13" s="59" t="s">
        <v>40</v>
      </c>
      <c r="C13" s="60" t="s">
        <v>38</v>
      </c>
      <c r="D13" s="115" t="s">
        <v>39</v>
      </c>
      <c r="E13" s="124">
        <v>0</v>
      </c>
      <c r="F13" s="2">
        <v>1669469302.0799999</v>
      </c>
      <c r="G13" s="118">
        <f t="shared" si="0"/>
        <v>0</v>
      </c>
      <c r="H13" s="124">
        <v>0</v>
      </c>
      <c r="I13" s="2">
        <v>1759092302.4200001</v>
      </c>
      <c r="J13" s="110">
        <f t="shared" si="1"/>
        <v>0</v>
      </c>
      <c r="K13" s="106">
        <f t="shared" si="2"/>
        <v>1</v>
      </c>
      <c r="L13" s="111">
        <v>5</v>
      </c>
    </row>
    <row r="14" spans="1:176" ht="16.5" thickBot="1" x14ac:dyDescent="0.3">
      <c r="A14" s="62">
        <v>9</v>
      </c>
      <c r="B14" s="59" t="s">
        <v>41</v>
      </c>
      <c r="C14" s="60" t="s">
        <v>42</v>
      </c>
      <c r="D14" s="115" t="s">
        <v>43</v>
      </c>
      <c r="E14" s="106">
        <v>18088.48</v>
      </c>
      <c r="F14" s="2">
        <v>116388103.81999999</v>
      </c>
      <c r="G14" s="118">
        <f t="shared" si="0"/>
        <v>1.5541519628135481E-2</v>
      </c>
      <c r="H14" s="106">
        <v>15157</v>
      </c>
      <c r="I14" s="2">
        <v>120297530.34</v>
      </c>
      <c r="J14" s="110">
        <f t="shared" si="1"/>
        <v>1.2599593655132722E-2</v>
      </c>
      <c r="K14" s="106">
        <f t="shared" si="2"/>
        <v>0.99987400406344862</v>
      </c>
      <c r="L14" s="111">
        <v>5</v>
      </c>
    </row>
    <row r="15" spans="1:176" ht="16.5" thickBot="1" x14ac:dyDescent="0.3">
      <c r="A15" s="62">
        <v>10</v>
      </c>
      <c r="B15" s="59" t="s">
        <v>44</v>
      </c>
      <c r="C15" s="60" t="s">
        <v>45</v>
      </c>
      <c r="D15" s="115" t="s">
        <v>46</v>
      </c>
      <c r="E15" s="124">
        <v>0</v>
      </c>
      <c r="F15" s="2">
        <v>24929722.539999999</v>
      </c>
      <c r="G15" s="118">
        <f t="shared" si="0"/>
        <v>0</v>
      </c>
      <c r="H15" s="106">
        <v>2.74</v>
      </c>
      <c r="I15" s="2">
        <v>25126134.140000001</v>
      </c>
      <c r="J15" s="110">
        <f t="shared" si="1"/>
        <v>1.090498038708632E-5</v>
      </c>
      <c r="K15" s="106">
        <f t="shared" si="2"/>
        <v>0.99999989095019615</v>
      </c>
      <c r="L15" s="111">
        <v>5</v>
      </c>
    </row>
    <row r="16" spans="1:176" ht="16.5" thickBot="1" x14ac:dyDescent="0.3">
      <c r="A16" s="62">
        <v>11</v>
      </c>
      <c r="B16" s="59" t="s">
        <v>47</v>
      </c>
      <c r="C16" s="60" t="s">
        <v>48</v>
      </c>
      <c r="D16" s="115" t="s">
        <v>49</v>
      </c>
      <c r="E16" s="124">
        <v>0</v>
      </c>
      <c r="F16" s="2">
        <v>14636634.529999999</v>
      </c>
      <c r="G16" s="118">
        <f t="shared" si="0"/>
        <v>0</v>
      </c>
      <c r="H16" s="124">
        <v>0</v>
      </c>
      <c r="I16" s="2">
        <v>14636634.529999999</v>
      </c>
      <c r="J16" s="110">
        <f t="shared" si="1"/>
        <v>0</v>
      </c>
      <c r="K16" s="106">
        <f t="shared" si="2"/>
        <v>1</v>
      </c>
      <c r="L16" s="111">
        <v>5</v>
      </c>
    </row>
    <row r="17" spans="1:12" ht="35.25" customHeight="1" thickBot="1" x14ac:dyDescent="0.3">
      <c r="A17" s="58" t="s">
        <v>37</v>
      </c>
      <c r="B17" s="59" t="s">
        <v>50</v>
      </c>
      <c r="C17" s="60" t="s">
        <v>51</v>
      </c>
      <c r="D17" s="115" t="s">
        <v>52</v>
      </c>
      <c r="E17" s="124">
        <v>0</v>
      </c>
      <c r="F17" s="2">
        <v>102208539.23999999</v>
      </c>
      <c r="G17" s="118">
        <f t="shared" si="0"/>
        <v>0</v>
      </c>
      <c r="H17" s="124">
        <v>0</v>
      </c>
      <c r="I17" s="2">
        <v>99741033.459999993</v>
      </c>
      <c r="J17" s="110">
        <f t="shared" si="1"/>
        <v>0</v>
      </c>
      <c r="K17" s="106">
        <f t="shared" si="2"/>
        <v>1</v>
      </c>
      <c r="L17" s="111">
        <v>5</v>
      </c>
    </row>
    <row r="18" spans="1:12" s="66" customFormat="1" ht="16.5" thickBot="1" x14ac:dyDescent="0.3">
      <c r="A18" s="63" t="s">
        <v>37</v>
      </c>
      <c r="B18" s="64"/>
      <c r="C18" s="65"/>
      <c r="D18" s="116" t="s">
        <v>58</v>
      </c>
      <c r="E18" s="119">
        <f>E6+E7+E8+E9+E10+E11+E12+E13+E14+E15+E16+E17</f>
        <v>9551387.3699999992</v>
      </c>
      <c r="F18" s="120">
        <f>F6+F7+F8+F9+F10+F11+F12+F13+F14+F15+F16+F17</f>
        <v>2626847821.52</v>
      </c>
      <c r="G18" s="118">
        <f t="shared" ref="G18" si="3">E18/F18*100</f>
        <v>0.36360642180151809</v>
      </c>
      <c r="H18" s="125">
        <f>H6+H7+H8+H9+H10+H11+H12+H13+H14+H15+H16+H17</f>
        <v>9414087.2000000011</v>
      </c>
      <c r="I18" s="21">
        <f>I6+I7+I8+I9+I10+I11+I12+I13+I14+I15+I16+I17</f>
        <v>2942836737.48</v>
      </c>
      <c r="J18" s="110">
        <f t="shared" ref="J18" si="4">H18/I18*100</f>
        <v>0.31989838512283353</v>
      </c>
      <c r="K18" s="235">
        <v>1</v>
      </c>
      <c r="L18" s="236">
        <v>5</v>
      </c>
    </row>
    <row r="19" spans="1:12" ht="15.6" x14ac:dyDescent="0.3">
      <c r="E19" s="129"/>
      <c r="F19" s="130"/>
      <c r="G19" s="131"/>
      <c r="K19" s="82"/>
    </row>
    <row r="20" spans="1:12" ht="16.5" thickBot="1" x14ac:dyDescent="0.3">
      <c r="D20" s="17" t="s">
        <v>55</v>
      </c>
      <c r="E20" s="132"/>
      <c r="F20" s="133"/>
      <c r="G20" s="135">
        <f>G18/A18</f>
        <v>3.0300535150126508E-2</v>
      </c>
      <c r="J20" s="136">
        <f>J18/A18</f>
        <v>2.6658198760236129E-2</v>
      </c>
    </row>
    <row r="21" spans="1:12" ht="15.6" x14ac:dyDescent="0.3">
      <c r="H21" s="67"/>
    </row>
    <row r="23" spans="1:12" x14ac:dyDescent="0.25">
      <c r="A23" s="396" t="s">
        <v>125</v>
      </c>
      <c r="B23" s="396"/>
      <c r="C23" s="396"/>
      <c r="D23" s="396"/>
      <c r="E23" s="396"/>
      <c r="F23" s="396"/>
      <c r="G23" s="396"/>
      <c r="H23" s="396"/>
      <c r="I23" s="396"/>
    </row>
    <row r="24" spans="1:12" x14ac:dyDescent="0.25">
      <c r="A24" s="446">
        <v>44287</v>
      </c>
      <c r="B24" s="396"/>
      <c r="C24" s="447"/>
    </row>
    <row r="31" spans="1:12" x14ac:dyDescent="0.25">
      <c r="H31" s="68"/>
    </row>
    <row r="33" spans="1:7" x14ac:dyDescent="0.25">
      <c r="A33" s="69"/>
      <c r="B33" s="69"/>
      <c r="D33" s="50"/>
      <c r="E33" s="50"/>
      <c r="F33" s="50"/>
      <c r="G33" s="50"/>
    </row>
  </sheetData>
  <mergeCells count="8">
    <mergeCell ref="A23:I23"/>
    <mergeCell ref="A24:C24"/>
    <mergeCell ref="A1:L1"/>
    <mergeCell ref="H2:I2"/>
    <mergeCell ref="E3:F3"/>
    <mergeCell ref="H3:I3"/>
    <mergeCell ref="K3:K5"/>
    <mergeCell ref="L3:L5"/>
  </mergeCells>
  <pageMargins left="0.7" right="0.7" top="0.75" bottom="0.75" header="0.3" footer="0.3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J22"/>
  <sheetViews>
    <sheetView view="pageBreakPreview" zoomScale="74" zoomScaleNormal="100" zoomScaleSheetLayoutView="74" workbookViewId="0">
      <selection activeCell="H33" sqref="H33"/>
    </sheetView>
  </sheetViews>
  <sheetFormatPr defaultRowHeight="15" x14ac:dyDescent="0.25"/>
  <cols>
    <col min="1" max="1" width="5.140625" customWidth="1"/>
    <col min="2" max="2" width="6.28515625" customWidth="1"/>
    <col min="3" max="3" width="13.28515625" customWidth="1"/>
    <col min="4" max="4" width="30.7109375" customWidth="1"/>
    <col min="5" max="5" width="26.7109375" customWidth="1"/>
    <col min="6" max="6" width="24.42578125" customWidth="1"/>
    <col min="7" max="7" width="14" customWidth="1"/>
  </cols>
  <sheetData>
    <row r="2" spans="1:7" x14ac:dyDescent="0.25">
      <c r="A2" s="390" t="s">
        <v>218</v>
      </c>
      <c r="B2" s="391"/>
      <c r="C2" s="391"/>
      <c r="D2" s="391"/>
      <c r="E2" s="391"/>
      <c r="F2" s="391"/>
      <c r="G2" s="391"/>
    </row>
    <row r="3" spans="1:7" ht="16.149999999999999" thickBot="1" x14ac:dyDescent="0.35">
      <c r="A3" s="24"/>
      <c r="B3" s="24"/>
      <c r="C3" s="24"/>
      <c r="D3" s="210"/>
      <c r="E3" s="211"/>
      <c r="F3" s="17"/>
      <c r="G3" s="17"/>
    </row>
    <row r="4" spans="1:7" ht="63.75" customHeight="1" thickBot="1" x14ac:dyDescent="0.3">
      <c r="A4" s="165" t="s">
        <v>0</v>
      </c>
      <c r="B4" s="212" t="s">
        <v>109</v>
      </c>
      <c r="C4" s="212" t="s">
        <v>1</v>
      </c>
      <c r="D4" s="212" t="s">
        <v>2</v>
      </c>
      <c r="E4" s="212" t="s">
        <v>127</v>
      </c>
      <c r="F4" s="171" t="s">
        <v>72</v>
      </c>
      <c r="G4" s="433" t="s">
        <v>129</v>
      </c>
    </row>
    <row r="5" spans="1:7" ht="34.15" customHeight="1" thickBot="1" x14ac:dyDescent="0.3">
      <c r="A5" s="172"/>
      <c r="B5" s="173"/>
      <c r="C5" s="173"/>
      <c r="D5" s="173"/>
      <c r="E5" s="219"/>
      <c r="F5" s="176" t="s">
        <v>128</v>
      </c>
      <c r="G5" s="435"/>
    </row>
    <row r="6" spans="1:7" ht="30" customHeight="1" thickBot="1" x14ac:dyDescent="0.3">
      <c r="A6" s="182" t="s">
        <v>8</v>
      </c>
      <c r="B6" s="183" t="s">
        <v>9</v>
      </c>
      <c r="C6" s="183" t="s">
        <v>10</v>
      </c>
      <c r="D6" s="188" t="s">
        <v>11</v>
      </c>
      <c r="E6" s="218">
        <v>0</v>
      </c>
      <c r="F6" s="150">
        <v>1</v>
      </c>
      <c r="G6" s="7">
        <v>10</v>
      </c>
    </row>
    <row r="7" spans="1:7" ht="26.25" thickBot="1" x14ac:dyDescent="0.3">
      <c r="A7" s="184" t="s">
        <v>15</v>
      </c>
      <c r="B7" s="185" t="s">
        <v>12</v>
      </c>
      <c r="C7" s="185" t="s">
        <v>13</v>
      </c>
      <c r="D7" s="189" t="s">
        <v>14</v>
      </c>
      <c r="E7" s="177">
        <v>0</v>
      </c>
      <c r="F7" s="150">
        <v>1</v>
      </c>
      <c r="G7" s="7">
        <v>10</v>
      </c>
    </row>
    <row r="8" spans="1:7" ht="26.25" thickBot="1" x14ac:dyDescent="0.3">
      <c r="A8" s="184" t="s">
        <v>16</v>
      </c>
      <c r="B8" s="185" t="s">
        <v>22</v>
      </c>
      <c r="C8" s="185" t="s">
        <v>23</v>
      </c>
      <c r="D8" s="189" t="s">
        <v>24</v>
      </c>
      <c r="E8" s="177">
        <v>0</v>
      </c>
      <c r="F8" s="150">
        <v>1</v>
      </c>
      <c r="G8" s="7">
        <v>10</v>
      </c>
    </row>
    <row r="9" spans="1:7" ht="29.45" customHeight="1" thickBot="1" x14ac:dyDescent="0.3">
      <c r="A9" s="184" t="s">
        <v>17</v>
      </c>
      <c r="B9" s="185" t="s">
        <v>25</v>
      </c>
      <c r="C9" s="185" t="s">
        <v>26</v>
      </c>
      <c r="D9" s="189" t="s">
        <v>27</v>
      </c>
      <c r="E9" s="177">
        <v>0</v>
      </c>
      <c r="F9" s="150">
        <v>1</v>
      </c>
      <c r="G9" s="7">
        <v>10</v>
      </c>
    </row>
    <row r="10" spans="1:7" ht="41.45" customHeight="1" thickBot="1" x14ac:dyDescent="0.3">
      <c r="A10" s="184" t="s">
        <v>18</v>
      </c>
      <c r="B10" s="185" t="s">
        <v>28</v>
      </c>
      <c r="C10" s="185" t="s">
        <v>29</v>
      </c>
      <c r="D10" s="189" t="s">
        <v>30</v>
      </c>
      <c r="E10" s="177">
        <v>0</v>
      </c>
      <c r="F10" s="150">
        <v>1</v>
      </c>
      <c r="G10" s="7">
        <v>10</v>
      </c>
    </row>
    <row r="11" spans="1:7" ht="32.450000000000003" customHeight="1" thickBot="1" x14ac:dyDescent="0.3">
      <c r="A11" s="184" t="s">
        <v>19</v>
      </c>
      <c r="B11" s="185" t="s">
        <v>31</v>
      </c>
      <c r="C11" s="185" t="s">
        <v>32</v>
      </c>
      <c r="D11" s="189" t="s">
        <v>33</v>
      </c>
      <c r="E11" s="177">
        <v>0</v>
      </c>
      <c r="F11" s="150">
        <v>1</v>
      </c>
      <c r="G11" s="7">
        <v>10</v>
      </c>
    </row>
    <row r="12" spans="1:7" ht="16.5" thickBot="1" x14ac:dyDescent="0.3">
      <c r="A12" s="184" t="s">
        <v>20</v>
      </c>
      <c r="B12" s="185" t="s">
        <v>34</v>
      </c>
      <c r="C12" s="185" t="s">
        <v>35</v>
      </c>
      <c r="D12" s="189" t="s">
        <v>36</v>
      </c>
      <c r="E12" s="177">
        <v>0</v>
      </c>
      <c r="F12" s="150">
        <v>1</v>
      </c>
      <c r="G12" s="7">
        <v>10</v>
      </c>
    </row>
    <row r="13" spans="1:7" ht="19.899999999999999" customHeight="1" thickBot="1" x14ac:dyDescent="0.3">
      <c r="A13" s="184" t="s">
        <v>21</v>
      </c>
      <c r="B13" s="185" t="s">
        <v>40</v>
      </c>
      <c r="C13" s="185" t="s">
        <v>38</v>
      </c>
      <c r="D13" s="189" t="s">
        <v>39</v>
      </c>
      <c r="E13" s="177">
        <v>0</v>
      </c>
      <c r="F13" s="150">
        <v>1</v>
      </c>
      <c r="G13" s="7">
        <v>10</v>
      </c>
    </row>
    <row r="14" spans="1:7" ht="16.5" thickBot="1" x14ac:dyDescent="0.3">
      <c r="A14" s="186">
        <v>9</v>
      </c>
      <c r="B14" s="185" t="s">
        <v>41</v>
      </c>
      <c r="C14" s="185" t="s">
        <v>42</v>
      </c>
      <c r="D14" s="189" t="s">
        <v>43</v>
      </c>
      <c r="E14" s="177">
        <v>0</v>
      </c>
      <c r="F14" s="150">
        <v>1</v>
      </c>
      <c r="G14" s="7">
        <v>10</v>
      </c>
    </row>
    <row r="15" spans="1:7" ht="26.25" thickBot="1" x14ac:dyDescent="0.3">
      <c r="A15" s="186">
        <v>10</v>
      </c>
      <c r="B15" s="185" t="s">
        <v>44</v>
      </c>
      <c r="C15" s="185" t="s">
        <v>45</v>
      </c>
      <c r="D15" s="189" t="s">
        <v>46</v>
      </c>
      <c r="E15" s="177">
        <v>0</v>
      </c>
      <c r="F15" s="150">
        <v>1</v>
      </c>
      <c r="G15" s="7">
        <v>10</v>
      </c>
    </row>
    <row r="16" spans="1:7" ht="19.149999999999999" customHeight="1" thickBot="1" x14ac:dyDescent="0.3">
      <c r="A16" s="186">
        <v>11</v>
      </c>
      <c r="B16" s="185" t="s">
        <v>47</v>
      </c>
      <c r="C16" s="185" t="s">
        <v>48</v>
      </c>
      <c r="D16" s="189" t="s">
        <v>49</v>
      </c>
      <c r="E16" s="177">
        <v>0</v>
      </c>
      <c r="F16" s="150">
        <v>1</v>
      </c>
      <c r="G16" s="7">
        <v>10</v>
      </c>
    </row>
    <row r="17" spans="1:10" ht="29.45" customHeight="1" x14ac:dyDescent="0.25">
      <c r="A17" s="184" t="s">
        <v>37</v>
      </c>
      <c r="B17" s="185" t="s">
        <v>50</v>
      </c>
      <c r="C17" s="185" t="s">
        <v>51</v>
      </c>
      <c r="D17" s="189" t="s">
        <v>52</v>
      </c>
      <c r="E17" s="177">
        <v>0</v>
      </c>
      <c r="F17" s="150">
        <v>1</v>
      </c>
      <c r="G17" s="7">
        <v>10</v>
      </c>
    </row>
    <row r="18" spans="1:10" ht="16.5" thickBot="1" x14ac:dyDescent="0.3">
      <c r="A18" s="35" t="s">
        <v>37</v>
      </c>
      <c r="B18" s="36"/>
      <c r="C18" s="36"/>
      <c r="D18" s="37" t="s">
        <v>58</v>
      </c>
      <c r="E18" s="178">
        <f>E6+E7+E8+E9+E10+E11+E12+E13+E14+E15+E16+E17</f>
        <v>0</v>
      </c>
      <c r="F18" s="180">
        <f t="shared" ref="F18" si="0">SUM(F6:F17)</f>
        <v>12</v>
      </c>
      <c r="G18" s="181">
        <f>SUM(G6:G17)/12</f>
        <v>10</v>
      </c>
    </row>
    <row r="19" spans="1:10" ht="12" customHeight="1" x14ac:dyDescent="0.3">
      <c r="A19" s="456"/>
      <c r="B19" s="456"/>
      <c r="C19" s="456"/>
      <c r="D19" s="456"/>
      <c r="E19" s="456"/>
      <c r="F19" s="456"/>
      <c r="G19" s="456"/>
      <c r="H19" s="187"/>
      <c r="I19" s="187"/>
      <c r="J19" s="187"/>
    </row>
    <row r="20" spans="1:10" ht="4.9000000000000004" customHeight="1" x14ac:dyDescent="0.3">
      <c r="A20" s="15"/>
      <c r="B20" s="15"/>
      <c r="C20" s="15"/>
      <c r="D20" s="15"/>
      <c r="E20" s="39"/>
      <c r="F20" s="17"/>
      <c r="G20" s="17"/>
    </row>
    <row r="21" spans="1:10" ht="15.75" x14ac:dyDescent="0.25">
      <c r="A21" s="396" t="s">
        <v>130</v>
      </c>
      <c r="B21" s="396"/>
      <c r="C21" s="396"/>
      <c r="D21" s="396"/>
      <c r="E21" s="396"/>
      <c r="F21" s="396"/>
      <c r="G21" s="396"/>
    </row>
    <row r="22" spans="1:10" ht="15.75" x14ac:dyDescent="0.25">
      <c r="A22" s="387"/>
      <c r="B22" s="388"/>
      <c r="C22" s="389"/>
      <c r="D22" s="17"/>
      <c r="E22" s="17"/>
      <c r="F22" s="17"/>
      <c r="G22" s="17"/>
    </row>
  </sheetData>
  <mergeCells count="5">
    <mergeCell ref="A22:C22"/>
    <mergeCell ref="A2:G2"/>
    <mergeCell ref="G4:G5"/>
    <mergeCell ref="A19:G19"/>
    <mergeCell ref="A21:G21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5</vt:i4>
      </vt:variant>
    </vt:vector>
  </HeadingPairs>
  <TitlesOfParts>
    <vt:vector size="23" baseType="lpstr">
      <vt:lpstr>1.1 Кач. планирования расходов</vt:lpstr>
      <vt:lpstr>1.2. Качество исполнения КП</vt:lpstr>
      <vt:lpstr>1.3. Доля неиспользованых БА</vt:lpstr>
      <vt:lpstr>1.4 Своевременность принятия БО</vt:lpstr>
      <vt:lpstr>1.5 Несоотв. расч-плат док</vt:lpstr>
      <vt:lpstr>1.6 Доля отклоненных ПГЗ</vt:lpstr>
      <vt:lpstr>1.7. Эффективность исп. МТ </vt:lpstr>
      <vt:lpstr>1.8. Эффект.управл. КЗ</vt:lpstr>
      <vt:lpstr>1.9. Налчие просроч.КЗ</vt:lpstr>
      <vt:lpstr>1.10 Приостановление операций</vt:lpstr>
      <vt:lpstr>2.1. Кач-во пл.пост.налог+ненал</vt:lpstr>
      <vt:lpstr>2.2. Качество администр. ост.</vt:lpstr>
      <vt:lpstr>2.3 Кач-во управ. просроч.ДЗ</vt:lpstr>
      <vt:lpstr>3.1 Степень достовер.отчет</vt:lpstr>
      <vt:lpstr>3.2 Нарушение треб. к бюдж.уч.</vt:lpstr>
      <vt:lpstr>4 Наличие на сайте ГМУ</vt:lpstr>
      <vt:lpstr>5 Управление активами</vt:lpstr>
      <vt:lpstr>ИТОГИ</vt:lpstr>
      <vt:lpstr>'1.1 Кач. планирования расходов'!Область_печати</vt:lpstr>
      <vt:lpstr>'1.2. Качество исполнения КП'!Область_печати</vt:lpstr>
      <vt:lpstr>'1.3. Доля неиспользованых БА'!Область_печати</vt:lpstr>
      <vt:lpstr>'2.1. Кач-во пл.пост.налог+ненал'!Область_печати</vt:lpstr>
      <vt:lpstr>ИТОГИ!Область_печати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Kirichenko</dc:creator>
  <cp:lastModifiedBy>Лебедева Юля Андреевна</cp:lastModifiedBy>
  <cp:lastPrinted>2022-04-29T08:18:52Z</cp:lastPrinted>
  <dcterms:created xsi:type="dcterms:W3CDTF">2021-03-15T06:31:14Z</dcterms:created>
  <dcterms:modified xsi:type="dcterms:W3CDTF">2022-04-29T08:19:02Z</dcterms:modified>
</cp:coreProperties>
</file>