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Бюджет\ОЦЕНКА финансового менеджмента ГРБС\2022\"/>
    </mc:Choice>
  </mc:AlternateContent>
  <bookViews>
    <workbookView xWindow="120" yWindow="360" windowWidth="24915" windowHeight="11835" tabRatio="776" activeTab="17"/>
  </bookViews>
  <sheets>
    <sheet name="1.1 Кач. планирования расходов" sheetId="16" r:id="rId1"/>
    <sheet name="1.2. Качество исполнения КП" sheetId="17" r:id="rId2"/>
    <sheet name="1.3. Доля неиспользованых БА" sheetId="6" r:id="rId3"/>
    <sheet name="1.4 Своевременность принятия БО" sheetId="5" r:id="rId4"/>
    <sheet name="1.5 Несоотв. расч-плат док" sheetId="2" r:id="rId5"/>
    <sheet name="1.6 Доля отклоненных ПГЗ" sheetId="1" r:id="rId6"/>
    <sheet name="1.7. Эффективность исп. МТ " sheetId="7" r:id="rId7"/>
    <sheet name="1.8. Эффект.управл. КЗ" sheetId="10" r:id="rId8"/>
    <sheet name="1.9. Налчие просроч.КЗ" sheetId="11" r:id="rId9"/>
    <sheet name="1.10 Приостановление операций" sheetId="3" r:id="rId10"/>
    <sheet name="2.1. Кач-во пл.пост.налог+ненал" sheetId="9" r:id="rId11"/>
    <sheet name="2.2. Качество администр. ост." sheetId="8" r:id="rId12"/>
    <sheet name="2.3 Кач-во управ. просроч.ДЗ" sheetId="12" r:id="rId13"/>
    <sheet name="3.1 Степень достовер.отчет" sheetId="14" r:id="rId14"/>
    <sheet name="3.2 Нарушение треб. к бюдж.уч." sheetId="15" r:id="rId15"/>
    <sheet name="4 Наличие на сайте ГМУ" sheetId="4" r:id="rId16"/>
    <sheet name="5 Управление активами" sheetId="21" r:id="rId17"/>
    <sheet name="ИТОГИ" sheetId="19" r:id="rId18"/>
  </sheets>
  <definedNames>
    <definedName name="_xlnm._FilterDatabase" localSheetId="10" hidden="1">'2.1. Кач-во пл.пост.налог+ненал'!$A$4:$O$17</definedName>
    <definedName name="_xlnm.Print_Titles" localSheetId="1">'1.2. Качество исполнения КП'!$A:$D</definedName>
    <definedName name="_xlnm.Print_Area" localSheetId="0">'1.1 Кач. планирования расходов'!$A$1:$I$24</definedName>
    <definedName name="_xlnm.Print_Area" localSheetId="9">'1.10 Приостановление операций'!$A$1:$I$28</definedName>
    <definedName name="_xlnm.Print_Area" localSheetId="1">'1.2. Качество исполнения КП'!$A$1:$AQ$24</definedName>
    <definedName name="_xlnm.Print_Area" localSheetId="2">'1.3. Доля неиспользованых БА'!$A$1:$I$24</definedName>
    <definedName name="_xlnm.Print_Area" localSheetId="10">'2.1. Кач-во пл.пост.налог+ненал'!$A$1:$I$19</definedName>
    <definedName name="_xlnm.Print_Area" localSheetId="17">ИТОГИ!$A$1:$W$24</definedName>
  </definedNames>
  <calcPr calcId="152511"/>
</workbook>
</file>

<file path=xl/calcChain.xml><?xml version="1.0" encoding="utf-8"?>
<calcChain xmlns="http://schemas.openxmlformats.org/spreadsheetml/2006/main">
  <c r="K7" i="10" l="1"/>
  <c r="AO11" i="19" l="1"/>
  <c r="AP11" i="19" s="1"/>
  <c r="AP5" i="19"/>
  <c r="AP7" i="19"/>
  <c r="AP8" i="19"/>
  <c r="AP9" i="19"/>
  <c r="AP10" i="19"/>
  <c r="AP12" i="19"/>
  <c r="AP13" i="19"/>
  <c r="AP14" i="19"/>
  <c r="AP15" i="19"/>
  <c r="AP16" i="19"/>
  <c r="AO5" i="19"/>
  <c r="Z6" i="19"/>
  <c r="Z7" i="19"/>
  <c r="Z8" i="19"/>
  <c r="Z9" i="19"/>
  <c r="Z10" i="19"/>
  <c r="Z11" i="19"/>
  <c r="Z12" i="19"/>
  <c r="Z13" i="19"/>
  <c r="Z14" i="19"/>
  <c r="Z15" i="19"/>
  <c r="Z16" i="19"/>
  <c r="Z5" i="19"/>
  <c r="I16" i="14"/>
  <c r="G17" i="2" l="1"/>
  <c r="H17" i="2" s="1"/>
  <c r="I17" i="2" s="1"/>
  <c r="G16" i="2"/>
  <c r="H16" i="2" s="1"/>
  <c r="I16" i="2" s="1"/>
  <c r="G15" i="2"/>
  <c r="H15" i="2" s="1"/>
  <c r="I15" i="2" s="1"/>
  <c r="G14" i="2"/>
  <c r="H14" i="2" s="1"/>
  <c r="I14" i="2" s="1"/>
  <c r="G13" i="2"/>
  <c r="H13" i="2" s="1"/>
  <c r="I13" i="2" s="1"/>
  <c r="G12" i="2"/>
  <c r="H12" i="2" s="1"/>
  <c r="I12" i="2" s="1"/>
  <c r="G11" i="2"/>
  <c r="H11" i="2" s="1"/>
  <c r="I11" i="2" s="1"/>
  <c r="G10" i="2"/>
  <c r="H10" i="2" s="1"/>
  <c r="I10" i="2" s="1"/>
  <c r="G9" i="2"/>
  <c r="H9" i="2" s="1"/>
  <c r="I9" i="2" s="1"/>
  <c r="G8" i="2"/>
  <c r="H8" i="2" s="1"/>
  <c r="I8" i="2" s="1"/>
  <c r="H7" i="2"/>
  <c r="I7" i="2" s="1"/>
  <c r="G7" i="2"/>
  <c r="H6" i="2"/>
  <c r="I6" i="2" s="1"/>
  <c r="G6" i="2"/>
  <c r="G17" i="1"/>
  <c r="H17" i="1" s="1"/>
  <c r="I17" i="1" s="1"/>
  <c r="G16" i="1"/>
  <c r="H16" i="1" s="1"/>
  <c r="I16" i="1" s="1"/>
  <c r="H15" i="1"/>
  <c r="I15" i="1" s="1"/>
  <c r="G15" i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H7" i="1"/>
  <c r="I7" i="1" s="1"/>
  <c r="G7" i="1"/>
  <c r="G6" i="1"/>
  <c r="H6" i="1" s="1"/>
  <c r="I6" i="1" s="1"/>
  <c r="G9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I8" i="5"/>
  <c r="G8" i="5"/>
  <c r="I7" i="5"/>
  <c r="G7" i="5"/>
  <c r="I6" i="5"/>
  <c r="G6" i="5"/>
  <c r="I19" i="6"/>
  <c r="I8" i="6"/>
  <c r="I9" i="6"/>
  <c r="I10" i="6"/>
  <c r="I11" i="6"/>
  <c r="I12" i="6"/>
  <c r="I13" i="6"/>
  <c r="I14" i="6"/>
  <c r="I15" i="6"/>
  <c r="I16" i="6"/>
  <c r="I17" i="6"/>
  <c r="I18" i="6"/>
  <c r="I7" i="6"/>
  <c r="I5" i="7" l="1"/>
  <c r="H18" i="7"/>
  <c r="H17" i="7"/>
  <c r="G6" i="7"/>
  <c r="H14" i="6"/>
  <c r="L7" i="6"/>
  <c r="H7" i="16"/>
  <c r="AQ7" i="17"/>
  <c r="G17" i="9" l="1"/>
  <c r="H17" i="9"/>
  <c r="F17" i="9"/>
  <c r="E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G7" i="9"/>
  <c r="I6" i="9"/>
  <c r="G6" i="9"/>
  <c r="I5" i="9"/>
  <c r="I17" i="9" s="1"/>
  <c r="G5" i="9"/>
  <c r="I19" i="17" l="1"/>
  <c r="AL15" i="17" l="1"/>
  <c r="N15" i="17"/>
  <c r="K15" i="17"/>
  <c r="AL14" i="17"/>
  <c r="AI14" i="17"/>
  <c r="AF14" i="17"/>
  <c r="AC14" i="17"/>
  <c r="AE14" i="17" s="1"/>
  <c r="Z14" i="17"/>
  <c r="AB15" i="17"/>
  <c r="W14" i="17"/>
  <c r="T14" i="17"/>
  <c r="Q14" i="17"/>
  <c r="S14" i="17"/>
  <c r="N14" i="17"/>
  <c r="K14" i="17"/>
  <c r="M14" i="17" s="1"/>
  <c r="H14" i="17"/>
  <c r="E14" i="17"/>
  <c r="AL8" i="17"/>
  <c r="W8" i="17"/>
  <c r="H8" i="17"/>
  <c r="E8" i="17"/>
  <c r="AB12" i="17"/>
  <c r="AB13" i="17"/>
  <c r="AB14" i="17"/>
  <c r="AB16" i="17"/>
  <c r="Y8" i="17"/>
  <c r="Y10" i="17"/>
  <c r="Y11" i="17"/>
  <c r="Y12" i="17"/>
  <c r="Y15" i="17"/>
  <c r="V7" i="17"/>
  <c r="V11" i="17"/>
  <c r="V13" i="17"/>
  <c r="V15" i="17"/>
  <c r="S7" i="17"/>
  <c r="S8" i="17"/>
  <c r="S9" i="17"/>
  <c r="S12" i="17"/>
  <c r="S17" i="17"/>
  <c r="P7" i="17"/>
  <c r="P10" i="17"/>
  <c r="P12" i="17"/>
  <c r="P13" i="17"/>
  <c r="P15" i="17"/>
  <c r="P16" i="17"/>
  <c r="P17" i="17"/>
  <c r="M7" i="17"/>
  <c r="M8" i="17"/>
  <c r="M9" i="17"/>
  <c r="M13" i="17"/>
  <c r="M16" i="17"/>
  <c r="M17" i="17"/>
  <c r="J11" i="17"/>
  <c r="J12" i="17"/>
  <c r="J13" i="17"/>
  <c r="J15" i="17"/>
  <c r="J16" i="17"/>
  <c r="J18" i="17"/>
  <c r="AE9" i="17"/>
  <c r="AE13" i="17"/>
  <c r="AE15" i="17"/>
  <c r="AH7" i="17"/>
  <c r="AH9" i="17"/>
  <c r="AH11" i="17"/>
  <c r="AH12" i="17"/>
  <c r="AH13" i="17"/>
  <c r="AH14" i="17"/>
  <c r="AH17" i="17"/>
  <c r="AH18" i="17"/>
  <c r="AK13" i="17"/>
  <c r="AK16" i="17"/>
  <c r="AK18" i="17"/>
  <c r="J17" i="10" l="1"/>
  <c r="K17" i="10" s="1"/>
  <c r="G17" i="10"/>
  <c r="J16" i="10"/>
  <c r="K16" i="10" s="1"/>
  <c r="G16" i="10"/>
  <c r="J15" i="10"/>
  <c r="K15" i="10" s="1"/>
  <c r="G15" i="10"/>
  <c r="J14" i="10"/>
  <c r="K14" i="10" s="1"/>
  <c r="G14" i="10"/>
  <c r="J13" i="10"/>
  <c r="K13" i="10" s="1"/>
  <c r="G13" i="10"/>
  <c r="J12" i="10"/>
  <c r="G12" i="10"/>
  <c r="J11" i="10"/>
  <c r="K11" i="10" s="1"/>
  <c r="G11" i="10"/>
  <c r="J10" i="10"/>
  <c r="K10" i="10" s="1"/>
  <c r="G10" i="10"/>
  <c r="J9" i="10"/>
  <c r="K9" i="10" s="1"/>
  <c r="G9" i="10"/>
  <c r="J8" i="10"/>
  <c r="K8" i="10" s="1"/>
  <c r="G8" i="10"/>
  <c r="J7" i="10"/>
  <c r="L7" i="10" s="1"/>
  <c r="G7" i="10"/>
  <c r="J6" i="10"/>
  <c r="K6" i="10" s="1"/>
  <c r="G6" i="10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I8" i="8"/>
  <c r="G8" i="8"/>
  <c r="I7" i="8"/>
  <c r="G7" i="8"/>
  <c r="G7" i="6" l="1"/>
  <c r="G12" i="16" l="1"/>
  <c r="G8" i="6"/>
  <c r="H8" i="6" s="1"/>
  <c r="G9" i="6"/>
  <c r="G10" i="6"/>
  <c r="G11" i="6"/>
  <c r="G12" i="6"/>
  <c r="G13" i="6"/>
  <c r="G14" i="6"/>
  <c r="G15" i="6"/>
  <c r="H15" i="6" s="1"/>
  <c r="G16" i="6"/>
  <c r="G17" i="6"/>
  <c r="G18" i="6"/>
  <c r="H12" i="16" l="1"/>
  <c r="AK8" i="17" l="1"/>
  <c r="AK9" i="17"/>
  <c r="AH8" i="17"/>
  <c r="AE18" i="17"/>
  <c r="Y18" i="17"/>
  <c r="S18" i="17"/>
  <c r="M18" i="17"/>
  <c r="J9" i="17"/>
  <c r="G8" i="17"/>
  <c r="G9" i="17"/>
  <c r="G10" i="17"/>
  <c r="G11" i="17"/>
  <c r="G12" i="17"/>
  <c r="G13" i="17"/>
  <c r="G14" i="17"/>
  <c r="G15" i="17"/>
  <c r="G16" i="17"/>
  <c r="G17" i="17"/>
  <c r="G18" i="17"/>
  <c r="G8" i="12" l="1"/>
  <c r="F19" i="12" l="1"/>
  <c r="G18" i="12"/>
  <c r="I18" i="12" s="1"/>
  <c r="I17" i="12"/>
  <c r="G17" i="12"/>
  <c r="I16" i="12"/>
  <c r="I15" i="12"/>
  <c r="G15" i="12"/>
  <c r="I14" i="12"/>
  <c r="I13" i="12"/>
  <c r="G13" i="12"/>
  <c r="I12" i="12"/>
  <c r="I11" i="12"/>
  <c r="I10" i="12"/>
  <c r="I9" i="12"/>
  <c r="I8" i="12"/>
  <c r="I18" i="14"/>
  <c r="G18" i="14"/>
  <c r="I19" i="12" l="1"/>
  <c r="H19" i="12"/>
  <c r="G19" i="12"/>
  <c r="G16" i="4"/>
  <c r="H16" i="4" s="1"/>
  <c r="G15" i="4"/>
  <c r="H15" i="4" s="1"/>
  <c r="G14" i="4"/>
  <c r="H14" i="4" s="1"/>
  <c r="G13" i="4"/>
  <c r="H13" i="4" s="1"/>
  <c r="I13" i="4" s="1"/>
  <c r="G12" i="4"/>
  <c r="H12" i="4" s="1"/>
  <c r="G7" i="4"/>
  <c r="H7" i="4" s="1"/>
  <c r="I18" i="5"/>
  <c r="U7" i="19" l="1"/>
  <c r="U8" i="19"/>
  <c r="U9" i="19"/>
  <c r="U10" i="19"/>
  <c r="U11" i="19"/>
  <c r="U12" i="19"/>
  <c r="U13" i="19"/>
  <c r="U14" i="19"/>
  <c r="U15" i="19"/>
  <c r="U16" i="19"/>
  <c r="U5" i="19"/>
  <c r="H19" i="8" l="1"/>
  <c r="H20" i="8" s="1"/>
  <c r="I19" i="8"/>
  <c r="I20" i="8" s="1"/>
  <c r="F17" i="7"/>
  <c r="F19" i="16" l="1"/>
  <c r="E18" i="21" l="1"/>
  <c r="F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F7" i="21"/>
  <c r="G7" i="21" s="1"/>
  <c r="H7" i="21" s="1"/>
  <c r="U6" i="19" s="1"/>
  <c r="U17" i="19" s="1"/>
  <c r="U18" i="19" s="1"/>
  <c r="F6" i="21"/>
  <c r="G6" i="21" s="1"/>
  <c r="AN6" i="19" l="1"/>
  <c r="AV6" i="19" s="1"/>
  <c r="AN7" i="19"/>
  <c r="AV7" i="19" s="1"/>
  <c r="AN8" i="19"/>
  <c r="AV8" i="19" s="1"/>
  <c r="AN9" i="19"/>
  <c r="AV9" i="19" s="1"/>
  <c r="AN10" i="19"/>
  <c r="AV10" i="19" s="1"/>
  <c r="AN11" i="19"/>
  <c r="AV11" i="19" s="1"/>
  <c r="AN12" i="19"/>
  <c r="AV12" i="19" s="1"/>
  <c r="AN13" i="19"/>
  <c r="AV13" i="19" s="1"/>
  <c r="AN14" i="19"/>
  <c r="AV14" i="19" s="1"/>
  <c r="AN15" i="19"/>
  <c r="AV15" i="19" s="1"/>
  <c r="AN16" i="19"/>
  <c r="AV16" i="19" s="1"/>
  <c r="AN5" i="19"/>
  <c r="AV5" i="19" s="1"/>
  <c r="AT8" i="17" l="1"/>
  <c r="AT9" i="17"/>
  <c r="AT10" i="17"/>
  <c r="AT11" i="17"/>
  <c r="AT12" i="17"/>
  <c r="AT13" i="17"/>
  <c r="AT14" i="17"/>
  <c r="AT15" i="17"/>
  <c r="AT16" i="17"/>
  <c r="AT17" i="17"/>
  <c r="AT18" i="17"/>
  <c r="AT7" i="17"/>
  <c r="AS9" i="17"/>
  <c r="AS10" i="17"/>
  <c r="AS11" i="17"/>
  <c r="AS12" i="17"/>
  <c r="AS13" i="17"/>
  <c r="AS14" i="17"/>
  <c r="AS15" i="17"/>
  <c r="AS16" i="17"/>
  <c r="AS17" i="17"/>
  <c r="AS18" i="17"/>
  <c r="AS8" i="17"/>
  <c r="AS7" i="17"/>
  <c r="J7" i="17"/>
  <c r="G7" i="17"/>
  <c r="AK7" i="17"/>
  <c r="AO12" i="17"/>
  <c r="AP12" i="17" s="1"/>
  <c r="Y7" i="17"/>
  <c r="AO14" i="17"/>
  <c r="AP14" i="17" s="1"/>
  <c r="AO15" i="17"/>
  <c r="AP15" i="17" s="1"/>
  <c r="AO8" i="17"/>
  <c r="AP8" i="17" s="1"/>
  <c r="AO7" i="17" l="1"/>
  <c r="AO9" i="17"/>
  <c r="AP9" i="17" s="1"/>
  <c r="AQ9" i="17" s="1"/>
  <c r="F7" i="19" s="1"/>
  <c r="Y7" i="19" s="1"/>
  <c r="AO17" i="17"/>
  <c r="AP17" i="17" s="1"/>
  <c r="AQ17" i="17" s="1"/>
  <c r="F15" i="19" s="1"/>
  <c r="Y15" i="19" s="1"/>
  <c r="AO13" i="17"/>
  <c r="AQ13" i="17" s="1"/>
  <c r="F11" i="19" s="1"/>
  <c r="Y11" i="19" s="1"/>
  <c r="AO11" i="17"/>
  <c r="AP11" i="17" s="1"/>
  <c r="AQ11" i="17" s="1"/>
  <c r="F9" i="19" s="1"/>
  <c r="Y9" i="19" s="1"/>
  <c r="AO18" i="17"/>
  <c r="AP18" i="17" s="1"/>
  <c r="AQ18" i="17" s="1"/>
  <c r="F16" i="19" s="1"/>
  <c r="Y16" i="19" s="1"/>
  <c r="AO16" i="17"/>
  <c r="AP16" i="17" s="1"/>
  <c r="AQ16" i="17" s="1"/>
  <c r="F14" i="19" s="1"/>
  <c r="Y14" i="19" s="1"/>
  <c r="AO10" i="17"/>
  <c r="AP10" i="17" s="1"/>
  <c r="AQ10" i="17" s="1"/>
  <c r="F8" i="19" s="1"/>
  <c r="AP7" i="17"/>
  <c r="F19" i="17"/>
  <c r="H19" i="17"/>
  <c r="K19" i="17"/>
  <c r="L19" i="17"/>
  <c r="N19" i="17"/>
  <c r="O19" i="17"/>
  <c r="Q19" i="17"/>
  <c r="R19" i="17"/>
  <c r="T19" i="17"/>
  <c r="U19" i="17"/>
  <c r="W19" i="17"/>
  <c r="X19" i="17"/>
  <c r="Z19" i="17"/>
  <c r="AA19" i="17"/>
  <c r="AC19" i="17"/>
  <c r="AD19" i="17"/>
  <c r="AF19" i="17"/>
  <c r="AG19" i="17"/>
  <c r="AI19" i="17"/>
  <c r="AJ19" i="17"/>
  <c r="AL19" i="17"/>
  <c r="AM19" i="17"/>
  <c r="G18" i="11"/>
  <c r="T7" i="19"/>
  <c r="AM7" i="19" s="1"/>
  <c r="AU7" i="19" s="1"/>
  <c r="T8" i="19"/>
  <c r="AM8" i="19" s="1"/>
  <c r="AU8" i="19" s="1"/>
  <c r="T9" i="19"/>
  <c r="AM9" i="19" s="1"/>
  <c r="AU9" i="19" s="1"/>
  <c r="T10" i="19"/>
  <c r="AM10" i="19" s="1"/>
  <c r="AU10" i="19" s="1"/>
  <c r="T16" i="19"/>
  <c r="AM16" i="19" s="1"/>
  <c r="AU16" i="19" s="1"/>
  <c r="T5" i="19"/>
  <c r="S7" i="19"/>
  <c r="AL7" i="19" s="1"/>
  <c r="S8" i="19"/>
  <c r="AL8" i="19" s="1"/>
  <c r="S9" i="19"/>
  <c r="AL9" i="19" s="1"/>
  <c r="S10" i="19"/>
  <c r="AL10" i="19" s="1"/>
  <c r="S11" i="19"/>
  <c r="AL11" i="19" s="1"/>
  <c r="S12" i="19"/>
  <c r="AL12" i="19" s="1"/>
  <c r="S13" i="19"/>
  <c r="AL13" i="19" s="1"/>
  <c r="S14" i="19"/>
  <c r="AL14" i="19" s="1"/>
  <c r="S15" i="19"/>
  <c r="AL15" i="19" s="1"/>
  <c r="S16" i="19"/>
  <c r="AL16" i="19" s="1"/>
  <c r="S5" i="19"/>
  <c r="R6" i="19"/>
  <c r="AK6" i="19" s="1"/>
  <c r="R7" i="19"/>
  <c r="AK7" i="19" s="1"/>
  <c r="R8" i="19"/>
  <c r="AK8" i="19" s="1"/>
  <c r="R9" i="19"/>
  <c r="AK9" i="19" s="1"/>
  <c r="AS9" i="19" s="1"/>
  <c r="AT9" i="19" s="1"/>
  <c r="R10" i="19"/>
  <c r="AK10" i="19" s="1"/>
  <c r="AS10" i="19" s="1"/>
  <c r="AT10" i="19" s="1"/>
  <c r="R11" i="19"/>
  <c r="AK11" i="19" s="1"/>
  <c r="AS11" i="19" s="1"/>
  <c r="AT11" i="19" s="1"/>
  <c r="R12" i="19"/>
  <c r="AK12" i="19" s="1"/>
  <c r="AS12" i="19" s="1"/>
  <c r="AT12" i="19" s="1"/>
  <c r="R13" i="19"/>
  <c r="AK13" i="19" s="1"/>
  <c r="R14" i="19"/>
  <c r="AK14" i="19" s="1"/>
  <c r="R15" i="19"/>
  <c r="AK15" i="19" s="1"/>
  <c r="AS15" i="19" s="1"/>
  <c r="AT15" i="19" s="1"/>
  <c r="R16" i="19"/>
  <c r="AK16" i="19" s="1"/>
  <c r="R5" i="19"/>
  <c r="Q5" i="19"/>
  <c r="M6" i="19"/>
  <c r="AF6" i="19" s="1"/>
  <c r="M7" i="19"/>
  <c r="AF7" i="19" s="1"/>
  <c r="M8" i="19"/>
  <c r="AF8" i="19" s="1"/>
  <c r="M9" i="19"/>
  <c r="AF9" i="19" s="1"/>
  <c r="M10" i="19"/>
  <c r="AF10" i="19" s="1"/>
  <c r="M11" i="19"/>
  <c r="AF11" i="19" s="1"/>
  <c r="M12" i="19"/>
  <c r="AF12" i="19" s="1"/>
  <c r="M13" i="19"/>
  <c r="AF13" i="19" s="1"/>
  <c r="M14" i="19"/>
  <c r="AF14" i="19" s="1"/>
  <c r="M15" i="19"/>
  <c r="AF15" i="19" s="1"/>
  <c r="M16" i="19"/>
  <c r="AF16" i="19" s="1"/>
  <c r="M5" i="19"/>
  <c r="L7" i="19"/>
  <c r="AE7" i="19" s="1"/>
  <c r="L8" i="19"/>
  <c r="AE8" i="19" s="1"/>
  <c r="L9" i="19"/>
  <c r="AE9" i="19" s="1"/>
  <c r="L10" i="19"/>
  <c r="AE10" i="19" s="1"/>
  <c r="L11" i="19"/>
  <c r="AE11" i="19" s="1"/>
  <c r="L12" i="19"/>
  <c r="AE12" i="19" s="1"/>
  <c r="L13" i="19"/>
  <c r="AE13" i="19" s="1"/>
  <c r="L14" i="19"/>
  <c r="AE14" i="19" s="1"/>
  <c r="L15" i="19"/>
  <c r="AE15" i="19" s="1"/>
  <c r="L16" i="19"/>
  <c r="AE16" i="19" s="1"/>
  <c r="L5" i="19"/>
  <c r="AQ15" i="17"/>
  <c r="F13" i="19" s="1"/>
  <c r="Y13" i="19" s="1"/>
  <c r="E19" i="17"/>
  <c r="AQ14" i="17"/>
  <c r="F12" i="19" s="1"/>
  <c r="Y12" i="19" s="1"/>
  <c r="AQ12" i="17"/>
  <c r="F10" i="19" s="1"/>
  <c r="Y10" i="19" s="1"/>
  <c r="AS16" i="19" l="1"/>
  <c r="AT16" i="19" s="1"/>
  <c r="AS8" i="19"/>
  <c r="AT8" i="19" s="1"/>
  <c r="AS7" i="19"/>
  <c r="AT7" i="19" s="1"/>
  <c r="AS14" i="19"/>
  <c r="AT14" i="19" s="1"/>
  <c r="Y8" i="19"/>
  <c r="AP19" i="17"/>
  <c r="AP20" i="17" s="1"/>
  <c r="AS13" i="19"/>
  <c r="AT13" i="19" s="1"/>
  <c r="AE5" i="19"/>
  <c r="AK5" i="19"/>
  <c r="R17" i="19"/>
  <c r="R18" i="19" s="1"/>
  <c r="AM5" i="19"/>
  <c r="AU5" i="19" s="1"/>
  <c r="AL5" i="19"/>
  <c r="AJ5" i="19"/>
  <c r="AF5" i="19"/>
  <c r="M17" i="19"/>
  <c r="M18" i="19" s="1"/>
  <c r="F5" i="19"/>
  <c r="Y5" i="19" s="1"/>
  <c r="AS19" i="17"/>
  <c r="AT19" i="17"/>
  <c r="AQ8" i="17"/>
  <c r="F6" i="19" s="1"/>
  <c r="Y6" i="19" s="1"/>
  <c r="G8" i="16"/>
  <c r="G9" i="16"/>
  <c r="G10" i="16"/>
  <c r="G11" i="16"/>
  <c r="I12" i="16"/>
  <c r="E10" i="19" s="1"/>
  <c r="X10" i="19" s="1"/>
  <c r="G13" i="16"/>
  <c r="G14" i="16"/>
  <c r="G15" i="16"/>
  <c r="G16" i="16"/>
  <c r="G17" i="16"/>
  <c r="G18" i="16"/>
  <c r="G7" i="16"/>
  <c r="I7" i="16" s="1"/>
  <c r="AS5" i="19" l="1"/>
  <c r="AT5" i="19" s="1"/>
  <c r="H18" i="16"/>
  <c r="I18" i="16" s="1"/>
  <c r="E16" i="19" s="1"/>
  <c r="X16" i="19" s="1"/>
  <c r="H17" i="16"/>
  <c r="I17" i="16" s="1"/>
  <c r="E15" i="19" s="1"/>
  <c r="X15" i="19" s="1"/>
  <c r="H9" i="16"/>
  <c r="I9" i="16" s="1"/>
  <c r="E7" i="19" s="1"/>
  <c r="X7" i="19" s="1"/>
  <c r="H13" i="16"/>
  <c r="I13" i="16" s="1"/>
  <c r="E11" i="19" s="1"/>
  <c r="X11" i="19" s="1"/>
  <c r="H16" i="16"/>
  <c r="I16" i="16" s="1"/>
  <c r="E14" i="19" s="1"/>
  <c r="X14" i="19" s="1"/>
  <c r="H8" i="16"/>
  <c r="I8" i="16" s="1"/>
  <c r="E6" i="19" s="1"/>
  <c r="H14" i="16"/>
  <c r="I14" i="16" s="1"/>
  <c r="E12" i="19" s="1"/>
  <c r="X12" i="19" s="1"/>
  <c r="H15" i="16"/>
  <c r="I15" i="16" s="1"/>
  <c r="E13" i="19" s="1"/>
  <c r="X13" i="19" s="1"/>
  <c r="H11" i="16"/>
  <c r="I11" i="16" s="1"/>
  <c r="E9" i="19" s="1"/>
  <c r="X9" i="19" s="1"/>
  <c r="H10" i="16"/>
  <c r="I10" i="16" s="1"/>
  <c r="E8" i="19" s="1"/>
  <c r="AQ19" i="17"/>
  <c r="AQ20" i="17" s="1"/>
  <c r="G19" i="16"/>
  <c r="G20" i="16" s="1"/>
  <c r="F17" i="19"/>
  <c r="F18" i="19" s="1"/>
  <c r="E19" i="16"/>
  <c r="X8" i="19" l="1"/>
  <c r="X6" i="19"/>
  <c r="H19" i="16"/>
  <c r="H20" i="16" s="1"/>
  <c r="F7" i="15"/>
  <c r="H7" i="15" s="1"/>
  <c r="F8" i="15"/>
  <c r="F9" i="15"/>
  <c r="F10" i="15"/>
  <c r="F11" i="15"/>
  <c r="F12" i="15"/>
  <c r="F13" i="15"/>
  <c r="F18" i="15" s="1"/>
  <c r="F14" i="15"/>
  <c r="G14" i="15" s="1"/>
  <c r="F15" i="15"/>
  <c r="G15" i="15" s="1"/>
  <c r="F16" i="15"/>
  <c r="G16" i="15" s="1"/>
  <c r="F17" i="15"/>
  <c r="G17" i="15" s="1"/>
  <c r="F6" i="15"/>
  <c r="E18" i="15"/>
  <c r="H8" i="14"/>
  <c r="H10" i="14"/>
  <c r="H12" i="14"/>
  <c r="H6" i="14"/>
  <c r="F18" i="14"/>
  <c r="E18" i="14"/>
  <c r="H17" i="14"/>
  <c r="H15" i="14"/>
  <c r="H11" i="14"/>
  <c r="H9" i="14"/>
  <c r="F18" i="4"/>
  <c r="E18" i="4"/>
  <c r="H18" i="14" l="1"/>
  <c r="S6" i="19"/>
  <c r="H18" i="15"/>
  <c r="G18" i="15"/>
  <c r="E5" i="19"/>
  <c r="I19" i="16"/>
  <c r="I20" i="16" s="1"/>
  <c r="AL6" i="19"/>
  <c r="AS6" i="19" s="1"/>
  <c r="AT6" i="19" s="1"/>
  <c r="S17" i="19"/>
  <c r="S18" i="19" s="1"/>
  <c r="Q11" i="19"/>
  <c r="AJ11" i="19" s="1"/>
  <c r="E19" i="12"/>
  <c r="Q16" i="19"/>
  <c r="AJ16" i="19" s="1"/>
  <c r="Q15" i="19"/>
  <c r="AJ15" i="19" s="1"/>
  <c r="Q14" i="19"/>
  <c r="AJ14" i="19" s="1"/>
  <c r="Q13" i="19"/>
  <c r="AJ13" i="19" s="1"/>
  <c r="Q12" i="19"/>
  <c r="AJ12" i="19" s="1"/>
  <c r="Q10" i="19"/>
  <c r="AJ10" i="19" s="1"/>
  <c r="Q9" i="19"/>
  <c r="AJ9" i="19" s="1"/>
  <c r="Q8" i="19"/>
  <c r="AJ8" i="19" s="1"/>
  <c r="Q7" i="19"/>
  <c r="AJ7" i="19" s="1"/>
  <c r="F18" i="11"/>
  <c r="E18" i="11"/>
  <c r="L6" i="19"/>
  <c r="I18" i="10"/>
  <c r="H18" i="10"/>
  <c r="F18" i="10"/>
  <c r="E18" i="10"/>
  <c r="E17" i="19" l="1"/>
  <c r="E18" i="19" s="1"/>
  <c r="X5" i="19"/>
  <c r="AE6" i="19"/>
  <c r="L17" i="19"/>
  <c r="L18" i="19" s="1"/>
  <c r="Q6" i="19"/>
  <c r="J18" i="10"/>
  <c r="J20" i="10" s="1"/>
  <c r="G18" i="10"/>
  <c r="G20" i="10" s="1"/>
  <c r="O16" i="19"/>
  <c r="AH16" i="19" s="1"/>
  <c r="AJ6" i="19" l="1"/>
  <c r="Q17" i="19"/>
  <c r="Q18" i="19" s="1"/>
  <c r="O6" i="19"/>
  <c r="AH6" i="19" s="1"/>
  <c r="O15" i="19"/>
  <c r="AH15" i="19" s="1"/>
  <c r="O14" i="19"/>
  <c r="AH14" i="19" s="1"/>
  <c r="O13" i="19"/>
  <c r="AH13" i="19" s="1"/>
  <c r="O12" i="19"/>
  <c r="AH12" i="19" s="1"/>
  <c r="O11" i="19"/>
  <c r="AH11" i="19" s="1"/>
  <c r="O10" i="19"/>
  <c r="AH10" i="19" s="1"/>
  <c r="O9" i="19"/>
  <c r="AH9" i="19" s="1"/>
  <c r="O8" i="19"/>
  <c r="AH8" i="19" s="1"/>
  <c r="O7" i="19"/>
  <c r="AH7" i="19" s="1"/>
  <c r="O5" i="19" l="1"/>
  <c r="F19" i="8"/>
  <c r="E19" i="8"/>
  <c r="P16" i="19"/>
  <c r="AI16" i="19" s="1"/>
  <c r="AQ16" i="19" s="1"/>
  <c r="AR16" i="19" s="1"/>
  <c r="P15" i="19"/>
  <c r="AI15" i="19" s="1"/>
  <c r="AQ15" i="19" s="1"/>
  <c r="AR15" i="19" s="1"/>
  <c r="P14" i="19"/>
  <c r="AI14" i="19" s="1"/>
  <c r="AQ14" i="19" s="1"/>
  <c r="AR14" i="19" s="1"/>
  <c r="P13" i="19"/>
  <c r="AI13" i="19" s="1"/>
  <c r="AQ13" i="19" s="1"/>
  <c r="AR13" i="19" s="1"/>
  <c r="P12" i="19"/>
  <c r="AI12" i="19" s="1"/>
  <c r="AQ12" i="19" s="1"/>
  <c r="AR12" i="19" s="1"/>
  <c r="P11" i="19"/>
  <c r="AI11" i="19" s="1"/>
  <c r="AQ11" i="19" s="1"/>
  <c r="AR11" i="19" s="1"/>
  <c r="P10" i="19"/>
  <c r="AI10" i="19" s="1"/>
  <c r="AQ10" i="19" s="1"/>
  <c r="AR10" i="19" s="1"/>
  <c r="P9" i="19"/>
  <c r="AI9" i="19" s="1"/>
  <c r="AQ9" i="19" s="1"/>
  <c r="AR9" i="19" s="1"/>
  <c r="P8" i="19"/>
  <c r="AI8" i="19" s="1"/>
  <c r="AQ8" i="19" s="1"/>
  <c r="AR8" i="19" s="1"/>
  <c r="P7" i="19"/>
  <c r="AI7" i="19" s="1"/>
  <c r="AQ7" i="19" s="1"/>
  <c r="AR7" i="19" s="1"/>
  <c r="P6" i="19"/>
  <c r="AI6" i="19" s="1"/>
  <c r="AQ6" i="19" s="1"/>
  <c r="AR6" i="19" s="1"/>
  <c r="G11" i="7"/>
  <c r="G12" i="7"/>
  <c r="G13" i="7"/>
  <c r="G14" i="7"/>
  <c r="G16" i="7"/>
  <c r="E17" i="7"/>
  <c r="I16" i="7"/>
  <c r="K16" i="19" s="1"/>
  <c r="AD16" i="19" s="1"/>
  <c r="I15" i="7"/>
  <c r="K15" i="19" s="1"/>
  <c r="AD15" i="19" s="1"/>
  <c r="I14" i="7"/>
  <c r="I13" i="7"/>
  <c r="K13" i="19" s="1"/>
  <c r="AD13" i="19" s="1"/>
  <c r="I12" i="7"/>
  <c r="K12" i="19" s="1"/>
  <c r="AD12" i="19" s="1"/>
  <c r="I11" i="7"/>
  <c r="K11" i="19" s="1"/>
  <c r="AD11" i="19" s="1"/>
  <c r="I10" i="7"/>
  <c r="K10" i="19" s="1"/>
  <c r="AD10" i="19" s="1"/>
  <c r="I9" i="7"/>
  <c r="K9" i="19" s="1"/>
  <c r="AD9" i="19" s="1"/>
  <c r="I8" i="7"/>
  <c r="K8" i="19" s="1"/>
  <c r="AD8" i="19" s="1"/>
  <c r="I7" i="7"/>
  <c r="K7" i="19" s="1"/>
  <c r="AD7" i="19" s="1"/>
  <c r="K14" i="19" l="1"/>
  <c r="AD14" i="19" s="1"/>
  <c r="AH5" i="19"/>
  <c r="O17" i="19"/>
  <c r="O18" i="19" s="1"/>
  <c r="P5" i="19"/>
  <c r="K5" i="19"/>
  <c r="I6" i="7"/>
  <c r="K6" i="19" s="1"/>
  <c r="AD6" i="19" s="1"/>
  <c r="G9" i="19"/>
  <c r="G11" i="19"/>
  <c r="G13" i="19"/>
  <c r="G14" i="19"/>
  <c r="G15" i="19"/>
  <c r="G19" i="6"/>
  <c r="G20" i="6" s="1"/>
  <c r="F19" i="6"/>
  <c r="E19" i="6"/>
  <c r="G16" i="19"/>
  <c r="G12" i="19"/>
  <c r="G10" i="19"/>
  <c r="G8" i="19"/>
  <c r="H7" i="19"/>
  <c r="AA7" i="19" s="1"/>
  <c r="H8" i="19"/>
  <c r="AA8" i="19" s="1"/>
  <c r="H9" i="19"/>
  <c r="AA9" i="19" s="1"/>
  <c r="H10" i="19"/>
  <c r="AA10" i="19" s="1"/>
  <c r="H11" i="19"/>
  <c r="AA11" i="19" s="1"/>
  <c r="H12" i="19"/>
  <c r="AA12" i="19" s="1"/>
  <c r="H13" i="19"/>
  <c r="AA13" i="19" s="1"/>
  <c r="H14" i="19"/>
  <c r="AA14" i="19" s="1"/>
  <c r="H15" i="19"/>
  <c r="AA15" i="19" s="1"/>
  <c r="H16" i="19"/>
  <c r="AA16" i="19" s="1"/>
  <c r="H6" i="19"/>
  <c r="AA6" i="19" s="1"/>
  <c r="E18" i="5"/>
  <c r="F18" i="5"/>
  <c r="J12" i="19"/>
  <c r="AC12" i="19" s="1"/>
  <c r="J15" i="19"/>
  <c r="AC15" i="19" s="1"/>
  <c r="J16" i="19"/>
  <c r="AC16" i="19" s="1"/>
  <c r="J7" i="19"/>
  <c r="AC7" i="19" s="1"/>
  <c r="J8" i="19"/>
  <c r="AC8" i="19" s="1"/>
  <c r="J9" i="19"/>
  <c r="AC9" i="19" s="1"/>
  <c r="J10" i="19"/>
  <c r="AC10" i="19" s="1"/>
  <c r="J11" i="19"/>
  <c r="AC11" i="19" s="1"/>
  <c r="J13" i="19"/>
  <c r="AC13" i="19" s="1"/>
  <c r="J14" i="19"/>
  <c r="AC14" i="19" s="1"/>
  <c r="J6" i="19"/>
  <c r="AC6" i="19" s="1"/>
  <c r="G7" i="3"/>
  <c r="H7" i="3" s="1"/>
  <c r="N6" i="19" s="1"/>
  <c r="AG6" i="19" s="1"/>
  <c r="G8" i="3"/>
  <c r="H8" i="3" s="1"/>
  <c r="N7" i="19" s="1"/>
  <c r="AG7" i="19" s="1"/>
  <c r="G9" i="3"/>
  <c r="H9" i="3" s="1"/>
  <c r="N8" i="19" s="1"/>
  <c r="AG8" i="19" s="1"/>
  <c r="G10" i="3"/>
  <c r="H10" i="3" s="1"/>
  <c r="N9" i="19" s="1"/>
  <c r="AG9" i="19" s="1"/>
  <c r="G11" i="3"/>
  <c r="H11" i="3" s="1"/>
  <c r="N10" i="19" s="1"/>
  <c r="AG10" i="19" s="1"/>
  <c r="G12" i="3"/>
  <c r="H12" i="3" s="1"/>
  <c r="N11" i="19" s="1"/>
  <c r="AG11" i="19" s="1"/>
  <c r="G13" i="3"/>
  <c r="H13" i="3" s="1"/>
  <c r="N12" i="19" s="1"/>
  <c r="AG12" i="19" s="1"/>
  <c r="G14" i="3"/>
  <c r="H14" i="3" s="1"/>
  <c r="N13" i="19" s="1"/>
  <c r="AG13" i="19" s="1"/>
  <c r="G15" i="3"/>
  <c r="H15" i="3" s="1"/>
  <c r="N14" i="19" s="1"/>
  <c r="AG14" i="19" s="1"/>
  <c r="G16" i="3"/>
  <c r="H16" i="3" s="1"/>
  <c r="N15" i="19" s="1"/>
  <c r="AG15" i="19" s="1"/>
  <c r="G17" i="3"/>
  <c r="H17" i="3" s="1"/>
  <c r="N16" i="19" s="1"/>
  <c r="AG16" i="19" s="1"/>
  <c r="G6" i="3"/>
  <c r="H6" i="3" s="1"/>
  <c r="I14" i="4"/>
  <c r="T13" i="19" s="1"/>
  <c r="AM13" i="19" s="1"/>
  <c r="AU13" i="19" s="1"/>
  <c r="I15" i="4"/>
  <c r="T14" i="19" s="1"/>
  <c r="AM14" i="19" s="1"/>
  <c r="AU14" i="19" s="1"/>
  <c r="I16" i="4"/>
  <c r="T15" i="19" s="1"/>
  <c r="AM15" i="19" s="1"/>
  <c r="AU15" i="19" s="1"/>
  <c r="T12" i="19"/>
  <c r="AM12" i="19" s="1"/>
  <c r="AU12" i="19" s="1"/>
  <c r="I12" i="4"/>
  <c r="T11" i="19" s="1"/>
  <c r="AM11" i="19" s="1"/>
  <c r="AU11" i="19" s="1"/>
  <c r="F18" i="3"/>
  <c r="F20" i="3" s="1"/>
  <c r="E18" i="3"/>
  <c r="I17" i="7" l="1"/>
  <c r="I18" i="7" s="1"/>
  <c r="H19" i="6"/>
  <c r="H20" i="6" s="1"/>
  <c r="AD5" i="19"/>
  <c r="K17" i="19"/>
  <c r="K18" i="19" s="1"/>
  <c r="AI5" i="19"/>
  <c r="AQ5" i="19" s="1"/>
  <c r="AR5" i="19" s="1"/>
  <c r="P17" i="19"/>
  <c r="P18" i="19" s="1"/>
  <c r="H18" i="3"/>
  <c r="N5" i="19"/>
  <c r="I18" i="1"/>
  <c r="J5" i="19"/>
  <c r="H5" i="19"/>
  <c r="G5" i="19"/>
  <c r="G18" i="4"/>
  <c r="G7" i="19"/>
  <c r="G18" i="5"/>
  <c r="G20" i="5" s="1"/>
  <c r="I7" i="4"/>
  <c r="G6" i="19" l="1"/>
  <c r="I20" i="6"/>
  <c r="AA5" i="19"/>
  <c r="H17" i="19"/>
  <c r="H18" i="19" s="1"/>
  <c r="AC5" i="19"/>
  <c r="J17" i="19"/>
  <c r="J18" i="19" s="1"/>
  <c r="AG5" i="19"/>
  <c r="N17" i="19"/>
  <c r="N18" i="19" s="1"/>
  <c r="T6" i="19"/>
  <c r="I18" i="4"/>
  <c r="G18" i="1"/>
  <c r="G20" i="1" s="1"/>
  <c r="G17" i="19" l="1"/>
  <c r="G18" i="19" s="1"/>
  <c r="AM6" i="19"/>
  <c r="AU6" i="19" s="1"/>
  <c r="T17" i="19"/>
  <c r="T18" i="19" s="1"/>
  <c r="I16" i="19"/>
  <c r="I15" i="19"/>
  <c r="I14" i="19"/>
  <c r="I13" i="19"/>
  <c r="I12" i="19"/>
  <c r="I11" i="19"/>
  <c r="I10" i="19"/>
  <c r="I9" i="19"/>
  <c r="I8" i="19"/>
  <c r="V8" i="19" s="1"/>
  <c r="I7" i="19"/>
  <c r="I6" i="19"/>
  <c r="V6" i="19" s="1"/>
  <c r="F18" i="2"/>
  <c r="E18" i="2"/>
  <c r="F18" i="1"/>
  <c r="E18" i="1"/>
  <c r="AB6" i="19" l="1"/>
  <c r="AO6" i="19" s="1"/>
  <c r="AP6" i="19" s="1"/>
  <c r="AB8" i="19"/>
  <c r="AO8" i="19" s="1"/>
  <c r="V10" i="19"/>
  <c r="AB10" i="19"/>
  <c r="AO10" i="19" s="1"/>
  <c r="V12" i="19"/>
  <c r="AB12" i="19"/>
  <c r="AO12" i="19" s="1"/>
  <c r="V14" i="19"/>
  <c r="AB14" i="19"/>
  <c r="AO14" i="19" s="1"/>
  <c r="V16" i="19"/>
  <c r="AB16" i="19"/>
  <c r="AO16" i="19" s="1"/>
  <c r="I5" i="19"/>
  <c r="V5" i="19" s="1"/>
  <c r="AB7" i="19"/>
  <c r="AO7" i="19" s="1"/>
  <c r="V7" i="19"/>
  <c r="V9" i="19"/>
  <c r="AB9" i="19"/>
  <c r="AO9" i="19" s="1"/>
  <c r="V11" i="19"/>
  <c r="AB11" i="19"/>
  <c r="V13" i="19"/>
  <c r="AB13" i="19"/>
  <c r="AO13" i="19" s="1"/>
  <c r="V15" i="19"/>
  <c r="AB15" i="19"/>
  <c r="AO15" i="19" s="1"/>
  <c r="G18" i="2"/>
  <c r="AB5" i="19" l="1"/>
  <c r="I17" i="19"/>
  <c r="I18" i="19" s="1"/>
  <c r="V17" i="19"/>
  <c r="V18" i="19" s="1"/>
</calcChain>
</file>

<file path=xl/sharedStrings.xml><?xml version="1.0" encoding="utf-8"?>
<sst xmlns="http://schemas.openxmlformats.org/spreadsheetml/2006/main" count="1224" uniqueCount="226">
  <si>
    <t>№ п/п</t>
  </si>
  <si>
    <t>ИНН</t>
  </si>
  <si>
    <t>ГРБС</t>
  </si>
  <si>
    <t>Планы-ГРАФИКИ закупок</t>
  </si>
  <si>
    <t>Всего поступило</t>
  </si>
  <si>
    <t>отклонено</t>
  </si>
  <si>
    <t>N</t>
  </si>
  <si>
    <t>No</t>
  </si>
  <si>
    <t>1</t>
  </si>
  <si>
    <t>901</t>
  </si>
  <si>
    <t>2352037768</t>
  </si>
  <si>
    <t xml:space="preserve">СОВЕТ МУНИЦИПАЛЬНОГО ОБРАЗОВАНИЯ </t>
  </si>
  <si>
    <t>902</t>
  </si>
  <si>
    <t>2352023878</t>
  </si>
  <si>
    <t>АДМИНИСТРАЦИЯ МО ТЕМРЮКСКИЙ РАЙОН</t>
  </si>
  <si>
    <t>2</t>
  </si>
  <si>
    <t>3</t>
  </si>
  <si>
    <t>4</t>
  </si>
  <si>
    <t>5</t>
  </si>
  <si>
    <t>6</t>
  </si>
  <si>
    <t>7</t>
  </si>
  <si>
    <t>8</t>
  </si>
  <si>
    <t>905</t>
  </si>
  <si>
    <t>2352045416</t>
  </si>
  <si>
    <t>ФИНАНСОВОЕ УПРАВЛЕНИЕ МОТР</t>
  </si>
  <si>
    <t>908</t>
  </si>
  <si>
    <t>2352050350</t>
  </si>
  <si>
    <t>ОТДЕЛ ВНУТРЕННЕГО ФИНАНСОВОГО КОНТРОЛЯ</t>
  </si>
  <si>
    <t>910</t>
  </si>
  <si>
    <t>2352048079</t>
  </si>
  <si>
    <t xml:space="preserve">КОНТРОЛЬНО-СЧЕТНАЯ ПАЛАТА МУНИЦИПАЛЬНОГО ОБРАЗОВАНИЯ </t>
  </si>
  <si>
    <t>921</t>
  </si>
  <si>
    <t>2352054072</t>
  </si>
  <si>
    <t>УПРАВЛЕНИЕ МУНИЦИПАЛЬНОГО КОНТРОЛЯ</t>
  </si>
  <si>
    <t>924</t>
  </si>
  <si>
    <t>2352050423</t>
  </si>
  <si>
    <t>УКС И ТЭК</t>
  </si>
  <si>
    <t>12</t>
  </si>
  <si>
    <t>2352016528</t>
  </si>
  <si>
    <t>УПРАВЛЕНИЕ ОБРАЗОВАНИЕМ</t>
  </si>
  <si>
    <t>925</t>
  </si>
  <si>
    <t>926</t>
  </si>
  <si>
    <t>2352016510</t>
  </si>
  <si>
    <t>УПРАВЛЕНИЕ КУЛЬТУРЫ</t>
  </si>
  <si>
    <t>929</t>
  </si>
  <si>
    <t>2352046473</t>
  </si>
  <si>
    <t>ОФК И С АДМИНИСТРАЦИИ МОТР.</t>
  </si>
  <si>
    <t>934</t>
  </si>
  <si>
    <t>2352031364</t>
  </si>
  <si>
    <t>ОТДЕЛ ПО ДЕЛАМ МОЛОДЕЖИ</t>
  </si>
  <si>
    <t>953</t>
  </si>
  <si>
    <t>2352045529</t>
  </si>
  <si>
    <t>УПРАВЛЕНИЕ ПО ВОПРОСАМ СЕМЬИ И ДЕТСТВА</t>
  </si>
  <si>
    <t>Заявки на КР</t>
  </si>
  <si>
    <t>E (P)</t>
  </si>
  <si>
    <t>средний показатель</t>
  </si>
  <si>
    <t>P=(No/N)*100, %</t>
  </si>
  <si>
    <t>Вес показателя - 5</t>
  </si>
  <si>
    <t>итого</t>
  </si>
  <si>
    <t>Оценка показателя</t>
  </si>
  <si>
    <t>Приостановление операций по расходованию средств на лицевых счетах ПБС</t>
  </si>
  <si>
    <t>Уведомления о приостановлении операций</t>
  </si>
  <si>
    <t>P=Po</t>
  </si>
  <si>
    <t>P*=10</t>
  </si>
  <si>
    <t>1-(P/P*), если Р&lt;P*                      0, если Р≥P*</t>
  </si>
  <si>
    <r>
      <t>P=(N</t>
    </r>
    <r>
      <rPr>
        <sz val="13.2"/>
        <color theme="1"/>
        <rFont val="Times New Roman"/>
        <family val="1"/>
        <charset val="204"/>
      </rPr>
      <t>i/N)*100</t>
    </r>
  </si>
  <si>
    <t>Наличие на официальном сайте в сети Интернет по размещению информации о муниципальных учреждениях (МУ)</t>
  </si>
  <si>
    <t>Общее количество МУ</t>
  </si>
  <si>
    <t>Ni</t>
  </si>
  <si>
    <t xml:space="preserve">Количество МУ, разместивших сведения </t>
  </si>
  <si>
    <t>не применяется</t>
  </si>
  <si>
    <t>Оценка показателя E (P)</t>
  </si>
  <si>
    <t>Оценка показателя                E (P)</t>
  </si>
  <si>
    <t>Оценка показателя   E (P)</t>
  </si>
  <si>
    <t>Своевременность принятия БО</t>
  </si>
  <si>
    <t>отчётный период</t>
  </si>
  <si>
    <t>Sra</t>
  </si>
  <si>
    <t>Lra</t>
  </si>
  <si>
    <t>P=1-(Sra/Lra)</t>
  </si>
  <si>
    <t>Расчёт показателя</t>
  </si>
  <si>
    <t>Объём поставленных на учёт БО (КРКС 110)</t>
  </si>
  <si>
    <t>Объём ЛБО (КРКС 110)</t>
  </si>
  <si>
    <t>1.4. Своевременность принятия бюджетных обязательств</t>
  </si>
  <si>
    <t>1.6 Доля отклоненных планов-графиков (изменений в планы-графики) закупок, представленных в финансовое управление в рамках возложенных функций по осуществлению контроля в сфере закупок</t>
  </si>
  <si>
    <t>1.10 Приостановление операций по расходованию средств на лицевых счетах подведомственных главному администратору получателей средств районного бюджета в связи с нарушением процедур исполнения судебных актов, предусматривающих обращение взыскания на средства районного бюджета по обязательствам муниципальных казенных учреждений</t>
  </si>
  <si>
    <t>4. 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</si>
  <si>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1-(P/100), если Р≤10%                0, если P&gt;10%</t>
  </si>
  <si>
    <t>1-(P/100) ͣ, если Р≤10% 0, если P&gt;10%</t>
  </si>
  <si>
    <t>1, если Р≤0,1       0 в иных случаях</t>
  </si>
  <si>
    <t>Начальник отдела казначейского контроля                                                                                     С.П. Кириченко</t>
  </si>
  <si>
    <t>Bra</t>
  </si>
  <si>
    <t>Era</t>
  </si>
  <si>
    <t>P=(Bra-Era)/Bra</t>
  </si>
  <si>
    <t>ПЛАН</t>
  </si>
  <si>
    <t>Исполнено</t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</si>
  <si>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</si>
  <si>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</si>
  <si>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P=(N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/n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)*100</t>
    </r>
  </si>
  <si>
    <t>-</t>
  </si>
  <si>
    <r>
      <t>E(P)=   1, если P</t>
    </r>
    <r>
      <rPr>
        <sz val="12"/>
        <color theme="1"/>
        <rFont val="Calibri"/>
        <family val="2"/>
        <charset val="204"/>
      </rPr>
      <t>≥97%</t>
    </r>
    <r>
      <rPr>
        <sz val="12"/>
        <color theme="1"/>
        <rFont val="Times New Roman"/>
        <family val="1"/>
        <charset val="204"/>
      </rPr>
      <t xml:space="preserve"> и 0, если Р≤97%</t>
    </r>
  </si>
  <si>
    <t>ГРБС не получающие МТ из краевого и федерального бюджетов получают максимальное количество баллов, т.к. отсутствуют основания для снижения общего количества баллов.</t>
  </si>
  <si>
    <t>Объем поступлений по возврату целевых остатков прошлых лет в краевой бюджет</t>
  </si>
  <si>
    <t>Объем поступлений</t>
  </si>
  <si>
    <t>Rp1</t>
  </si>
  <si>
    <t>Rj1</t>
  </si>
  <si>
    <t>P=(Rj1/Rp1)*100</t>
  </si>
  <si>
    <r>
      <t>E(P)=   1, если P</t>
    </r>
    <r>
      <rPr>
        <sz val="12"/>
        <color theme="1"/>
        <rFont val="Calibri"/>
        <family val="2"/>
        <charset val="204"/>
      </rPr>
      <t>≥100%</t>
    </r>
    <r>
      <rPr>
        <sz val="12"/>
        <color theme="1"/>
        <rFont val="Times New Roman"/>
        <family val="1"/>
        <charset val="204"/>
      </rPr>
      <t xml:space="preserve"> и 0, если Р≤100%</t>
    </r>
  </si>
  <si>
    <t>Код адм</t>
  </si>
  <si>
    <t>Код адм.</t>
  </si>
  <si>
    <t>R</t>
  </si>
  <si>
    <t>Rn</t>
  </si>
  <si>
    <t>Объем поступлений налоговых и неналоговых доходов</t>
  </si>
  <si>
    <t>Утвержденное бюджетное назначение по налоговым и неналоговым доходам</t>
  </si>
  <si>
    <t>P=(R/Rn)*100</t>
  </si>
  <si>
    <t>Начальник отдела отраслевого финансирования и доходов бюджета</t>
  </si>
  <si>
    <t>Т.В. Грызунок</t>
  </si>
  <si>
    <r>
      <rPr>
        <b/>
        <sz val="10"/>
        <color theme="1"/>
        <rFont val="Times New Roman"/>
        <family val="1"/>
        <charset val="204"/>
      </rPr>
      <t>E(P)= 1</t>
    </r>
    <r>
      <rPr>
        <sz val="10"/>
        <color theme="1"/>
        <rFont val="Times New Roman"/>
        <family val="1"/>
        <charset val="204"/>
      </rPr>
      <t xml:space="preserve">, если 100≤P≤105 либо R=0 (при этом Rn=0)
</t>
    </r>
    <r>
      <rPr>
        <b/>
        <sz val="10"/>
        <color theme="1"/>
        <rFont val="Times New Roman"/>
        <family val="1"/>
        <charset val="204"/>
      </rPr>
      <t>E(P)= 0,5</t>
    </r>
    <r>
      <rPr>
        <sz val="10"/>
        <color theme="1"/>
        <rFont val="Times New Roman"/>
        <family val="1"/>
        <charset val="204"/>
      </rPr>
      <t xml:space="preserve">, если 95≤P&lt;100 либо P&gt;105
либо Rn=0 при этом R&gt;0 или R&lt;0 
</t>
    </r>
    <r>
      <rPr>
        <b/>
        <sz val="10"/>
        <color theme="1"/>
        <rFont val="Times New Roman"/>
        <family val="1"/>
        <charset val="204"/>
      </rPr>
      <t>E(P)= 0</t>
    </r>
    <r>
      <rPr>
        <sz val="10"/>
        <color theme="1"/>
        <rFont val="Times New Roman"/>
        <family val="1"/>
        <charset val="204"/>
      </rPr>
      <t>, если P&lt;95</t>
    </r>
  </si>
  <si>
    <t>Оценка показателя
E (P)</t>
  </si>
  <si>
    <t>1.8. Эффективность управления кредиторской задолженностью по расчетам с поставщиками и подрядчиками</t>
  </si>
  <si>
    <t xml:space="preserve">Кредиторская задолженность </t>
  </si>
  <si>
    <t>фактический объем расходов</t>
  </si>
  <si>
    <t>K</t>
  </si>
  <si>
    <t>Ek</t>
  </si>
  <si>
    <t>P=(K/Ek)*100, %</t>
  </si>
  <si>
    <t>Начальник отдела учета и отчетности                                                                    Е.А.Кучерявых</t>
  </si>
  <si>
    <t>1-(P/100) ͣ, если Р≤1,5% 0, если P&gt;1,5%</t>
  </si>
  <si>
    <t>Объем просроченной кредиторской задолженности</t>
  </si>
  <si>
    <t>E(P)=   1, если P=0 и 0, если Р&gt;0</t>
  </si>
  <si>
    <t>Вес показателя - 10</t>
  </si>
  <si>
    <t>Начальник  отдела учета и отчетности                                                                                                                       Е.А. Кучерявых</t>
  </si>
  <si>
    <t>на начало периода</t>
  </si>
  <si>
    <t>на конец периода</t>
  </si>
  <si>
    <r>
      <t>Dp</t>
    </r>
    <r>
      <rPr>
        <sz val="8"/>
        <color theme="1"/>
        <rFont val="Times New Roman"/>
        <family val="1"/>
        <charset val="204"/>
      </rPr>
      <t>1</t>
    </r>
  </si>
  <si>
    <r>
      <t>Dp</t>
    </r>
    <r>
      <rPr>
        <sz val="8"/>
        <color theme="1"/>
        <rFont val="Times New Roman"/>
        <family val="1"/>
        <charset val="204"/>
      </rPr>
      <t>0</t>
    </r>
  </si>
  <si>
    <t>Начальник  отдела учета и отчетности                                                                                                                                                                          Е.А.Кучерявых</t>
  </si>
  <si>
    <r>
      <t>1, если Р</t>
    </r>
    <r>
      <rPr>
        <sz val="12"/>
        <color theme="1"/>
        <rFont val="Calibri"/>
        <family val="2"/>
        <charset val="204"/>
      </rPr>
      <t>≥</t>
    </r>
    <r>
      <rPr>
        <sz val="13.2"/>
        <color theme="1"/>
        <rFont val="Times New Roman"/>
        <family val="1"/>
        <charset val="204"/>
      </rPr>
      <t>99%</t>
    </r>
    <r>
      <rPr>
        <sz val="12"/>
        <color theme="1"/>
        <rFont val="Times New Roman"/>
        <family val="1"/>
        <charset val="204"/>
      </rPr>
      <t xml:space="preserve">   0, если Р</t>
    </r>
    <r>
      <rPr>
        <sz val="12"/>
        <color theme="1"/>
        <rFont val="Calibri"/>
        <family val="2"/>
        <charset val="204"/>
      </rPr>
      <t>&lt;</t>
    </r>
    <r>
      <rPr>
        <sz val="13.2"/>
        <color theme="1"/>
        <rFont val="Times New Roman"/>
        <family val="1"/>
        <charset val="204"/>
      </rPr>
      <t>99%</t>
    </r>
  </si>
  <si>
    <t xml:space="preserve">3.1  Степень достоверности бюджетной отчетности </t>
  </si>
  <si>
    <t>Sp</t>
  </si>
  <si>
    <t>Eb</t>
  </si>
  <si>
    <t>P=Sp/Eb</t>
  </si>
  <si>
    <t xml:space="preserve">3.2  Нарушение требований к бюджетному учету, в том числе к составлению, представлению бюджетной отчетности </t>
  </si>
  <si>
    <t>Наличие фактов нарушений требований к бюджетному учету</t>
  </si>
  <si>
    <t>Q ot</t>
  </si>
  <si>
    <t>P=Qot</t>
  </si>
  <si>
    <t>Объем изменений СБР</t>
  </si>
  <si>
    <t>Общий объем БА</t>
  </si>
  <si>
    <r>
      <t>S</t>
    </r>
    <r>
      <rPr>
        <sz val="8"/>
        <color theme="1"/>
        <rFont val="Times New Roman"/>
        <family val="1"/>
        <charset val="204"/>
      </rPr>
      <t>1</t>
    </r>
  </si>
  <si>
    <t>b</t>
  </si>
  <si>
    <r>
      <t>P=S</t>
    </r>
    <r>
      <rPr>
        <sz val="8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/b*100</t>
    </r>
  </si>
  <si>
    <r>
      <t>E(P)=1-(P/100), если Р≤15% и 0, если P</t>
    </r>
    <r>
      <rPr>
        <sz val="12"/>
        <color theme="1"/>
        <rFont val="Calibri"/>
        <family val="2"/>
        <charset val="204"/>
      </rPr>
      <t>&gt;15%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</si>
  <si>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</si>
  <si>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</si>
  <si>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</si>
  <si>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</si>
  <si>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</si>
  <si>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</si>
  <si>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</si>
  <si>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</si>
  <si>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</si>
  <si>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</si>
  <si>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</si>
  <si>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r>
      <t>P=((</t>
    </r>
    <r>
      <rPr>
        <sz val="12"/>
        <color theme="1"/>
        <rFont val="Calibri"/>
        <family val="2"/>
        <charset val="204"/>
      </rPr>
      <t>∑</t>
    </r>
    <r>
      <rPr>
        <sz val="12"/>
        <color theme="1"/>
        <rFont val="Times New Roman"/>
        <family val="1"/>
        <charset val="204"/>
      </rPr>
      <t>mj)/12)*100</t>
    </r>
  </si>
  <si>
    <r>
      <t>E(P)=P/100,  если 97%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>Р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 xml:space="preserve">75%,   1, если              P </t>
    </r>
    <r>
      <rPr>
        <sz val="12"/>
        <color theme="1"/>
        <rFont val="Calibri"/>
        <family val="2"/>
        <charset val="204"/>
      </rPr>
      <t xml:space="preserve">≥ </t>
    </r>
    <r>
      <rPr>
        <sz val="12"/>
        <color theme="1"/>
        <rFont val="Times New Roman"/>
        <family val="1"/>
        <charset val="204"/>
      </rPr>
      <t>97% и 0, если P</t>
    </r>
    <r>
      <rPr>
        <sz val="12"/>
        <color theme="1"/>
        <rFont val="Calibri"/>
        <family val="2"/>
        <charset val="204"/>
      </rPr>
      <t>≤75%</t>
    </r>
  </si>
  <si>
    <t>Наименование ГРБС</t>
  </si>
  <si>
    <t>Итоговое количество баллов</t>
  </si>
  <si>
    <t>Значение показателей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</si>
  <si>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</si>
  <si>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</si>
  <si>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</si>
  <si>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</si>
  <si>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</si>
  <si>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</si>
  <si>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</si>
  <si>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</si>
  <si>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</si>
  <si>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</si>
  <si>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</si>
  <si>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</si>
  <si>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</si>
  <si>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3.1.</t>
  </si>
  <si>
    <t>3.2.</t>
  </si>
  <si>
    <t>4.</t>
  </si>
  <si>
    <t>5.</t>
  </si>
  <si>
    <t>РЕЙТИНГ</t>
  </si>
  <si>
    <t>Примечение: Отсутствие информации для размещения не может повлиять на снижение показателя</t>
  </si>
  <si>
    <t>Средний показатель</t>
  </si>
  <si>
    <t>ОКТЯБРЬ</t>
  </si>
  <si>
    <t xml:space="preserve">5  Управление активами (имуществом) </t>
  </si>
  <si>
    <t>Сумма недостач, выявленных главным администратором и подведомственными ему получателями бюджетных средств при инвентаризации имущества в целях составления годовой бюджетной отчетности</t>
  </si>
  <si>
    <t>Qot</t>
  </si>
  <si>
    <t>Оценка показателя   E (P) =  0, если нарушения выявлены,  E (P) = 1, если нарушений не выявлено</t>
  </si>
  <si>
    <t>P=(Dp1-Dp0)/Dp0, если Dp1=Dp0=0, то Р=-1</t>
  </si>
  <si>
    <t>Сумма искажений показателей бюджетной отчетности, тыс. руб.</t>
  </si>
  <si>
    <t>Суммарное значение показателей бюджетной отчетности, по которым выявлены искажения, тыс.руб.</t>
  </si>
  <si>
    <t>ИТОГО</t>
  </si>
  <si>
    <t xml:space="preserve">ОТЧЕТ </t>
  </si>
  <si>
    <t>Оценка показателя   E (P) = 0, если нарушения выявлены, 1, если нарушений не выявлено</t>
  </si>
  <si>
    <t>Начальник бюджетного отдела                                                                                                                                                                                     Ю.А. Лебедева</t>
  </si>
  <si>
    <t>Начальник бюджетного отдела                                                                                                                                                                                                    Ю.А. Лебедева</t>
  </si>
  <si>
    <t>Начальник бюджетного отдела                                                                                                                                                                                                                             Ю.А. Лебедева</t>
  </si>
  <si>
    <r>
      <t>E(P)=(0,1-P)/0,08, если 0,02&lt;P&lt;0,1; 1,если Р≤0,02 и 0, если P</t>
    </r>
    <r>
      <rPr>
        <sz val="12"/>
        <color theme="1"/>
        <rFont val="Calibri"/>
        <family val="2"/>
        <charset val="204"/>
      </rPr>
      <t>≥</t>
    </r>
    <r>
      <rPr>
        <sz val="12"/>
        <color theme="1"/>
        <rFont val="Times New Roman"/>
        <family val="1"/>
        <charset val="204"/>
      </rPr>
      <t>0,1</t>
    </r>
  </si>
  <si>
    <t xml:space="preserve">Начальник отдела учета и отчетности                                                                                                                                              Е.А. Кучерявых                                                                                                                                            </t>
  </si>
  <si>
    <t>Отсутствие остатков на 1.01.2022 не влияет на снижение показателя ГРБС.</t>
  </si>
  <si>
    <t>Начальник бюджетного отдела                                                                                                                                                                                                     Ю.А. Лебедева</t>
  </si>
  <si>
    <t>Начальник отдела учета и отчетности                                                                                                                                                                                                    Е.А.Кучерявых</t>
  </si>
  <si>
    <t>2021 справочно</t>
  </si>
  <si>
    <t>2022 год</t>
  </si>
  <si>
    <t>1.9. Наличие просроченной кредиторской задолженности по расходам в 2022 году</t>
  </si>
  <si>
    <t>2.2. Качество администрирования доходов районного бюджета по возврату неиспользованных остатков межбюджетных трансфертов, имеющих целевое назначение в 2022 году</t>
  </si>
  <si>
    <t>2.3  Качество управления просроченной дебиторской задолженностью районного бюджета в 2022 году</t>
  </si>
  <si>
    <r>
      <t>E(P)= 0, если P</t>
    </r>
    <r>
      <rPr>
        <sz val="12"/>
        <color theme="1"/>
        <rFont val="Calibri"/>
        <family val="2"/>
        <charset val="204"/>
      </rPr>
      <t xml:space="preserve">≥ 0 </t>
    </r>
    <r>
      <rPr>
        <sz val="12"/>
        <color theme="1"/>
        <rFont val="Times New Roman"/>
        <family val="1"/>
        <charset val="204"/>
      </rPr>
      <t>и        -2P, если -0,5&lt;Р&lt;0,         1, если P&lt;-0,5</t>
    </r>
  </si>
  <si>
    <t xml:space="preserve">Начальник отдела учета и отчетности                                                                                                                               Е.А.Кучерявых  </t>
  </si>
  <si>
    <t>Объем расходов 2022 года</t>
  </si>
  <si>
    <t>1.1 Качество планирования расходов в 2022 году</t>
  </si>
  <si>
    <t xml:space="preserve">                                                                                                                                                     Объем расходов 2022 года</t>
  </si>
  <si>
    <t xml:space="preserve">                                                                                                                                                                                                                  1.2. Качество исполнения кассового плана в 2022 году</t>
  </si>
  <si>
    <t>2.1. Качество планирования поступлений налоговых и неналоговых доходов районного бюджета в 2022 году</t>
  </si>
  <si>
    <t>1.3 Доля неисполненных на конец года бюджетных ассигнованиях в 2022 году</t>
  </si>
  <si>
    <t>1.7. Эффективность использования межбюджетных трансфертов, имеющих целевое назначение, полученных из краевого бюджета в 2022 году</t>
  </si>
  <si>
    <t>Объем расходов за счет МТ в 2022 года (из краевого и федерального бюджетов)</t>
  </si>
  <si>
    <t>1.5 Несоответствие расчетно-платежных документов, представленных в финансовое управление, требованиям бюджетного законодательства Российской Федерации за 2022 год</t>
  </si>
  <si>
    <t>о результатах мониторинга качества финансового менеджмента главных распоредителей средств бюджета муниципального образования Темрюкский район за 2022 год</t>
  </si>
  <si>
    <t>Оценка показателя   E (P)= 0, если Sp ≥ St или P ≥0,1;     Если Sp&lt;St и P&lt;0,1, то по формуле (1-(P/0,1) * (1-(Sp/St))   St = 500  тыс.руб.</t>
  </si>
  <si>
    <t>Исполняющий обязанности</t>
  </si>
  <si>
    <t>начальника финансового управления                                                                                                                                                 Ю.А. Лебедева</t>
  </si>
  <si>
    <t>Просроченная дебиторская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</si>
</sst>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#,##0.0;[Red]\-#,##0.0;0.0"/>
    <numFmt numFmtId="167" formatCode="#,##0.00_ ;[Red]\-#,##0.00\ "/>
    <numFmt numFmtId="168" formatCode="#,##0.00;[Red]\-#,##0.00;0.00"/>
    <numFmt numFmtId="169" formatCode="0.0"/>
    <numFmt numFmtId="170" formatCode="#,##0.000;[Red]\-#,##0.000;0.00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</font>
    <font>
      <sz val="13.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514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18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0" fontId="2" fillId="0" borderId="0" xfId="0" applyFont="1"/>
    <xf numFmtId="2" fontId="1" fillId="2" borderId="0" xfId="0" applyNumberFormat="1" applyFont="1" applyFill="1"/>
    <xf numFmtId="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45" xfId="0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/>
    <xf numFmtId="4" fontId="1" fillId="2" borderId="26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5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wrapText="1"/>
    </xf>
    <xf numFmtId="0" fontId="8" fillId="5" borderId="22" xfId="0" applyFont="1" applyFill="1" applyBorder="1" applyAlignment="1">
      <alignment wrapText="1"/>
    </xf>
    <xf numFmtId="4" fontId="8" fillId="5" borderId="8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left"/>
    </xf>
    <xf numFmtId="0" fontId="8" fillId="5" borderId="57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1" fillId="5" borderId="39" xfId="0" applyFont="1" applyFill="1" applyBorder="1"/>
    <xf numFmtId="0" fontId="1" fillId="5" borderId="0" xfId="0" applyFont="1" applyFill="1" applyBorder="1"/>
    <xf numFmtId="0" fontId="1" fillId="5" borderId="17" xfId="0" applyFont="1" applyFill="1" applyBorder="1"/>
    <xf numFmtId="0" fontId="1" fillId="5" borderId="33" xfId="0" applyFont="1" applyFill="1" applyBorder="1"/>
    <xf numFmtId="0" fontId="1" fillId="5" borderId="58" xfId="0" applyFont="1" applyFill="1" applyBorder="1"/>
    <xf numFmtId="0" fontId="10" fillId="5" borderId="16" xfId="0" applyFont="1" applyFill="1" applyBorder="1" applyAlignment="1">
      <alignment horizontal="left" vertical="top" wrapText="1"/>
    </xf>
    <xf numFmtId="4" fontId="2" fillId="5" borderId="2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4" fontId="6" fillId="0" borderId="48" xfId="0" applyNumberFormat="1" applyFont="1" applyFill="1" applyBorder="1" applyAlignment="1" applyProtection="1">
      <alignment horizontal="right"/>
      <protection hidden="1"/>
    </xf>
    <xf numFmtId="4" fontId="6" fillId="0" borderId="26" xfId="0" applyNumberFormat="1" applyFont="1" applyFill="1" applyBorder="1" applyAlignment="1" applyProtection="1">
      <alignment horizontal="right"/>
      <protection hidden="1"/>
    </xf>
    <xf numFmtId="4" fontId="6" fillId="0" borderId="47" xfId="0" applyNumberFormat="1" applyFont="1" applyFill="1" applyBorder="1" applyAlignment="1" applyProtection="1">
      <alignment horizontal="right"/>
      <protection hidden="1"/>
    </xf>
    <xf numFmtId="4" fontId="6" fillId="0" borderId="1" xfId="0" applyNumberFormat="1" applyFont="1" applyFill="1" applyBorder="1" applyAlignment="1" applyProtection="1">
      <alignment horizontal="right"/>
      <protection hidden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5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wrapText="1"/>
    </xf>
    <xf numFmtId="3" fontId="1" fillId="2" borderId="26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6" fontId="6" fillId="0" borderId="1" xfId="0" applyNumberFormat="1" applyFont="1" applyFill="1" applyBorder="1" applyAlignment="1" applyProtection="1">
      <protection hidden="1"/>
    </xf>
    <xf numFmtId="166" fontId="2" fillId="2" borderId="9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" fillId="2" borderId="1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56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66" fontId="6" fillId="0" borderId="26" xfId="0" applyNumberFormat="1" applyFont="1" applyFill="1" applyBorder="1" applyAlignment="1" applyProtection="1">
      <protection hidden="1"/>
    </xf>
    <xf numFmtId="0" fontId="1" fillId="2" borderId="1" xfId="0" applyFont="1" applyFill="1" applyBorder="1" applyAlignment="1">
      <alignment horizontal="center" vertical="top" wrapText="1"/>
    </xf>
    <xf numFmtId="168" fontId="6" fillId="0" borderId="7" xfId="0" applyNumberFormat="1" applyFont="1" applyFill="1" applyBorder="1" applyAlignment="1" applyProtection="1">
      <protection hidden="1"/>
    </xf>
    <xf numFmtId="168" fontId="6" fillId="0" borderId="1" xfId="0" applyNumberFormat="1" applyFont="1" applyFill="1" applyBorder="1" applyAlignment="1" applyProtection="1">
      <protection hidden="1"/>
    </xf>
    <xf numFmtId="168" fontId="6" fillId="0" borderId="9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3" xfId="0" applyNumberFormat="1" applyFont="1" applyFill="1" applyBorder="1" applyAlignment="1" applyProtection="1">
      <protection hidden="1"/>
    </xf>
    <xf numFmtId="168" fontId="6" fillId="0" borderId="5" xfId="0" applyNumberFormat="1" applyFont="1" applyFill="1" applyBorder="1" applyAlignment="1" applyProtection="1">
      <protection hidden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 applyProtection="1">
      <protection hidden="1"/>
    </xf>
    <xf numFmtId="0" fontId="1" fillId="2" borderId="57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2" borderId="5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left" wrapText="1"/>
    </xf>
    <xf numFmtId="165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left" vertical="top" wrapText="1"/>
    </xf>
    <xf numFmtId="0" fontId="14" fillId="2" borderId="6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/>
    <xf numFmtId="166" fontId="2" fillId="2" borderId="67" xfId="0" applyNumberFormat="1" applyFont="1" applyFill="1" applyBorder="1" applyAlignment="1">
      <alignment horizontal="right" vertical="center"/>
    </xf>
    <xf numFmtId="166" fontId="2" fillId="2" borderId="65" xfId="0" applyNumberFormat="1" applyFont="1" applyFill="1" applyBorder="1" applyAlignment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right" vertical="center"/>
    </xf>
    <xf numFmtId="166" fontId="2" fillId="2" borderId="57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 applyProtection="1">
      <protection hidden="1"/>
    </xf>
    <xf numFmtId="166" fontId="6" fillId="0" borderId="65" xfId="0" applyNumberFormat="1" applyFont="1" applyFill="1" applyBorder="1" applyAlignment="1" applyProtection="1">
      <protection hidden="1"/>
    </xf>
    <xf numFmtId="0" fontId="1" fillId="0" borderId="39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6" fillId="0" borderId="0" xfId="0" applyNumberFormat="1" applyFont="1"/>
    <xf numFmtId="2" fontId="6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9" fontId="2" fillId="2" borderId="12" xfId="0" applyNumberFormat="1" applyFont="1" applyFill="1" applyBorder="1" applyAlignment="1">
      <alignment horizontal="center" vertical="center" wrapText="1"/>
    </xf>
    <xf numFmtId="169" fontId="1" fillId="3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/>
    <xf numFmtId="0" fontId="1" fillId="3" borderId="54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4" fontId="1" fillId="6" borderId="2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top" wrapText="1"/>
    </xf>
    <xf numFmtId="169" fontId="21" fillId="0" borderId="0" xfId="0" applyNumberFormat="1" applyFont="1"/>
    <xf numFmtId="169" fontId="1" fillId="0" borderId="0" xfId="0" applyNumberFormat="1" applyFont="1"/>
    <xf numFmtId="3" fontId="1" fillId="0" borderId="6" xfId="0" applyNumberFormat="1" applyFont="1" applyFill="1" applyBorder="1" applyAlignment="1">
      <alignment horizontal="center" vertical="center"/>
    </xf>
    <xf numFmtId="4" fontId="1" fillId="2" borderId="42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7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70" fontId="2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2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166" fontId="6" fillId="2" borderId="43" xfId="0" applyNumberFormat="1" applyFont="1" applyFill="1" applyBorder="1" applyAlignment="1" applyProtection="1">
      <protection hidden="1"/>
    </xf>
    <xf numFmtId="166" fontId="6" fillId="2" borderId="19" xfId="0" applyNumberFormat="1" applyFont="1" applyFill="1" applyBorder="1" applyAlignment="1" applyProtection="1">
      <protection hidden="1"/>
    </xf>
    <xf numFmtId="168" fontId="6" fillId="2" borderId="8" xfId="0" applyNumberFormat="1" applyFont="1" applyFill="1" applyBorder="1" applyAlignment="1" applyProtection="1">
      <protection hidden="1"/>
    </xf>
    <xf numFmtId="166" fontId="6" fillId="2" borderId="46" xfId="0" applyNumberFormat="1" applyFont="1" applyFill="1" applyBorder="1" applyAlignment="1" applyProtection="1">
      <protection hidden="1"/>
    </xf>
    <xf numFmtId="166" fontId="6" fillId="2" borderId="8" xfId="0" applyNumberFormat="1" applyFont="1" applyFill="1" applyBorder="1" applyAlignment="1" applyProtection="1">
      <protection hidden="1"/>
    </xf>
    <xf numFmtId="165" fontId="1" fillId="2" borderId="61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166" fontId="6" fillId="2" borderId="42" xfId="0" applyNumberFormat="1" applyFont="1" applyFill="1" applyBorder="1" applyAlignment="1" applyProtection="1">
      <protection hidden="1"/>
    </xf>
    <xf numFmtId="165" fontId="1" fillId="2" borderId="3" xfId="0" applyNumberFormat="1" applyFont="1" applyFill="1" applyBorder="1" applyAlignment="1">
      <alignment horizontal="center" vertical="center"/>
    </xf>
    <xf numFmtId="166" fontId="6" fillId="2" borderId="52" xfId="0" applyNumberFormat="1" applyFont="1" applyFill="1" applyBorder="1" applyAlignment="1" applyProtection="1">
      <protection hidden="1"/>
    </xf>
    <xf numFmtId="166" fontId="6" fillId="2" borderId="1" xfId="0" applyNumberFormat="1" applyFont="1" applyFill="1" applyBorder="1" applyAlignment="1" applyProtection="1">
      <protection hidden="1"/>
    </xf>
    <xf numFmtId="166" fontId="6" fillId="2" borderId="34" xfId="0" applyNumberFormat="1" applyFont="1" applyFill="1" applyBorder="1" applyAlignment="1" applyProtection="1">
      <protection hidden="1"/>
    </xf>
    <xf numFmtId="166" fontId="6" fillId="2" borderId="27" xfId="0" applyNumberFormat="1" applyFont="1" applyFill="1" applyBorder="1" applyAlignment="1" applyProtection="1">
      <protection hidden="1"/>
    </xf>
    <xf numFmtId="166" fontId="6" fillId="2" borderId="53" xfId="0" applyNumberFormat="1" applyFont="1" applyFill="1" applyBorder="1" applyAlignment="1" applyProtection="1">
      <protection hidden="1"/>
    </xf>
    <xf numFmtId="166" fontId="6" fillId="2" borderId="51" xfId="0" applyNumberFormat="1" applyFont="1" applyFill="1" applyBorder="1" applyAlignment="1" applyProtection="1">
      <protection hidden="1"/>
    </xf>
    <xf numFmtId="166" fontId="6" fillId="2" borderId="0" xfId="0" applyNumberFormat="1" applyFont="1" applyFill="1" applyBorder="1" applyAlignment="1" applyProtection="1">
      <protection hidden="1"/>
    </xf>
    <xf numFmtId="166" fontId="6" fillId="2" borderId="40" xfId="0" applyNumberFormat="1" applyFont="1" applyFill="1" applyBorder="1" applyAlignment="1" applyProtection="1">
      <protection hidden="1"/>
    </xf>
    <xf numFmtId="166" fontId="6" fillId="2" borderId="39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 wrapText="1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3" fontId="21" fillId="6" borderId="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4" fontId="2" fillId="3" borderId="26" xfId="0" applyNumberFormat="1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 applyProtection="1">
      <alignment horizontal="right" vertical="center"/>
      <protection hidden="1"/>
    </xf>
    <xf numFmtId="4" fontId="1" fillId="0" borderId="47" xfId="0" applyNumberFormat="1" applyFont="1" applyFill="1" applyBorder="1" applyAlignment="1">
      <alignment horizontal="center" vertical="center"/>
    </xf>
    <xf numFmtId="4" fontId="2" fillId="3" borderId="47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/>
    </xf>
    <xf numFmtId="165" fontId="1" fillId="7" borderId="26" xfId="0" applyNumberFormat="1" applyFont="1" applyFill="1" applyBorder="1" applyAlignment="1">
      <alignment horizontal="center" vertical="center"/>
    </xf>
    <xf numFmtId="4" fontId="1" fillId="7" borderId="26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0" fontId="17" fillId="2" borderId="0" xfId="0" applyFont="1" applyFill="1"/>
    <xf numFmtId="169" fontId="21" fillId="2" borderId="0" xfId="0" applyNumberFormat="1" applyFont="1" applyFill="1"/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 shrinkToFit="1"/>
    </xf>
    <xf numFmtId="0" fontId="7" fillId="2" borderId="0" xfId="0" applyFont="1" applyFill="1" applyAlignment="1">
      <alignment horizontal="left" vertical="center" wrapText="1" shrinkToFit="1"/>
    </xf>
    <xf numFmtId="0" fontId="1" fillId="2" borderId="23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10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left" wrapText="1"/>
    </xf>
    <xf numFmtId="0" fontId="2" fillId="2" borderId="68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1" fillId="2" borderId="6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left" wrapText="1"/>
    </xf>
    <xf numFmtId="0" fontId="2" fillId="2" borderId="69" xfId="0" applyFont="1" applyFill="1" applyBorder="1" applyAlignment="1">
      <alignment horizontal="left" wrapText="1"/>
    </xf>
    <xf numFmtId="0" fontId="2" fillId="2" borderId="67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4" fontId="1" fillId="0" borderId="0" xfId="0" applyNumberFormat="1" applyFont="1" applyFill="1" applyAlignment="1"/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wrapText="1"/>
    </xf>
    <xf numFmtId="0" fontId="2" fillId="2" borderId="5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8" fillId="5" borderId="12" xfId="0" applyFont="1" applyFill="1" applyBorder="1" applyAlignment="1">
      <alignment wrapText="1"/>
    </xf>
    <xf numFmtId="0" fontId="8" fillId="5" borderId="19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2" borderId="42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" fillId="2" borderId="47" xfId="0" applyFont="1" applyFill="1" applyBorder="1" applyAlignment="1">
      <alignment horizontal="left" wrapText="1"/>
    </xf>
    <xf numFmtId="0" fontId="1" fillId="2" borderId="66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0" fontId="0" fillId="0" borderId="44" xfId="0" applyBorder="1" applyAlignment="1">
      <alignment horizontal="left" vertical="top" wrapText="1"/>
    </xf>
    <xf numFmtId="0" fontId="1" fillId="2" borderId="5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7" fillId="0" borderId="0" xfId="0" applyFont="1" applyFill="1" applyAlignment="1"/>
    <xf numFmtId="0" fontId="1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2" borderId="70" xfId="0" applyFont="1" applyFill="1" applyBorder="1" applyAlignment="1">
      <alignment horizontal="left" wrapText="1"/>
    </xf>
    <xf numFmtId="49" fontId="1" fillId="3" borderId="47" xfId="0" applyNumberFormat="1" applyFont="1" applyFill="1" applyBorder="1" applyAlignment="1">
      <alignment horizontal="left"/>
    </xf>
    <xf numFmtId="49" fontId="1" fillId="3" borderId="66" xfId="0" applyNumberFormat="1" applyFont="1" applyFill="1" applyBorder="1" applyAlignment="1">
      <alignment horizontal="left"/>
    </xf>
    <xf numFmtId="49" fontId="1" fillId="3" borderId="52" xfId="0" applyNumberFormat="1" applyFont="1" applyFill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169" fontId="6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4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5.140625" customWidth="1"/>
    <col min="9" max="9" width="14" customWidth="1"/>
  </cols>
  <sheetData>
    <row r="2" spans="1:12" x14ac:dyDescent="0.25">
      <c r="A2" s="392" t="s">
        <v>213</v>
      </c>
      <c r="B2" s="393"/>
      <c r="C2" s="393"/>
      <c r="D2" s="393"/>
      <c r="E2" s="393"/>
      <c r="F2" s="393"/>
      <c r="G2" s="393"/>
      <c r="H2" s="393"/>
      <c r="I2" s="393"/>
    </row>
    <row r="3" spans="1:12" ht="15.75" x14ac:dyDescent="0.25">
      <c r="A3" s="22"/>
      <c r="B3" s="22"/>
      <c r="C3" s="22"/>
      <c r="D3" s="230"/>
      <c r="E3" s="394"/>
      <c r="F3" s="394"/>
      <c r="G3" s="15"/>
      <c r="H3" s="15"/>
      <c r="I3" s="15"/>
    </row>
    <row r="4" spans="1:12" ht="31.5" x14ac:dyDescent="0.25">
      <c r="A4" s="319" t="s">
        <v>0</v>
      </c>
      <c r="B4" s="319" t="s">
        <v>107</v>
      </c>
      <c r="C4" s="319" t="s">
        <v>1</v>
      </c>
      <c r="D4" s="319" t="s">
        <v>2</v>
      </c>
      <c r="E4" s="395" t="s">
        <v>212</v>
      </c>
      <c r="F4" s="395"/>
      <c r="G4" s="280"/>
      <c r="H4" s="280"/>
      <c r="I4" s="396" t="s">
        <v>128</v>
      </c>
    </row>
    <row r="5" spans="1:12" ht="31.9" customHeight="1" x14ac:dyDescent="0.25">
      <c r="A5" s="319"/>
      <c r="B5" s="319"/>
      <c r="C5" s="319"/>
      <c r="D5" s="319"/>
      <c r="E5" s="319" t="s">
        <v>144</v>
      </c>
      <c r="F5" s="280" t="s">
        <v>145</v>
      </c>
      <c r="G5" s="280" t="s">
        <v>79</v>
      </c>
      <c r="H5" s="280" t="s">
        <v>72</v>
      </c>
      <c r="I5" s="397"/>
    </row>
    <row r="6" spans="1:12" ht="33" customHeight="1" x14ac:dyDescent="0.25">
      <c r="A6" s="319"/>
      <c r="B6" s="319"/>
      <c r="C6" s="319"/>
      <c r="D6" s="319"/>
      <c r="E6" s="319" t="s">
        <v>146</v>
      </c>
      <c r="F6" s="280" t="s">
        <v>147</v>
      </c>
      <c r="G6" s="280" t="s">
        <v>148</v>
      </c>
      <c r="H6" s="361" t="s">
        <v>149</v>
      </c>
      <c r="I6" s="397"/>
      <c r="K6" s="362"/>
      <c r="L6" s="362"/>
    </row>
    <row r="7" spans="1:12" ht="31.15" customHeight="1" x14ac:dyDescent="0.25">
      <c r="A7" s="182" t="s">
        <v>8</v>
      </c>
      <c r="B7" s="182" t="s">
        <v>9</v>
      </c>
      <c r="C7" s="182" t="s">
        <v>10</v>
      </c>
      <c r="D7" s="186" t="s">
        <v>11</v>
      </c>
      <c r="E7" s="174"/>
      <c r="F7" s="174">
        <v>5214400</v>
      </c>
      <c r="G7" s="147">
        <f>(E7/F7*100)</f>
        <v>0</v>
      </c>
      <c r="H7" s="147">
        <f>IF(G7&gt;15,0,1-(G7/100))</f>
        <v>1</v>
      </c>
      <c r="I7" s="187">
        <f>H7*10</f>
        <v>10</v>
      </c>
      <c r="K7" s="363"/>
      <c r="L7" s="362"/>
    </row>
    <row r="8" spans="1:12" ht="25.5" x14ac:dyDescent="0.25">
      <c r="A8" s="182" t="s">
        <v>15</v>
      </c>
      <c r="B8" s="182" t="s">
        <v>12</v>
      </c>
      <c r="C8" s="182" t="s">
        <v>13</v>
      </c>
      <c r="D8" s="186" t="s">
        <v>14</v>
      </c>
      <c r="E8" s="174">
        <v>25707635.539999999</v>
      </c>
      <c r="F8" s="174">
        <v>1092311038</v>
      </c>
      <c r="G8" s="147">
        <f t="shared" ref="G8:G18" si="0">(E8/F8*100)</f>
        <v>2.3535087210205412</v>
      </c>
      <c r="H8" s="147">
        <f t="shared" ref="H8:H18" si="1">IF(G8&gt;15,0,1-(G8/100))</f>
        <v>0.97646491278979464</v>
      </c>
      <c r="I8" s="187">
        <f t="shared" ref="I8:I18" si="2">H8*10</f>
        <v>9.7646491278979468</v>
      </c>
      <c r="K8" s="363"/>
      <c r="L8" s="362"/>
    </row>
    <row r="9" spans="1:12" ht="15.75" x14ac:dyDescent="0.25">
      <c r="A9" s="182" t="s">
        <v>16</v>
      </c>
      <c r="B9" s="182" t="s">
        <v>22</v>
      </c>
      <c r="C9" s="182" t="s">
        <v>23</v>
      </c>
      <c r="D9" s="186" t="s">
        <v>24</v>
      </c>
      <c r="E9" s="174">
        <v>363736</v>
      </c>
      <c r="F9" s="174">
        <v>27084300</v>
      </c>
      <c r="G9" s="147">
        <f t="shared" si="0"/>
        <v>1.3429772968103291</v>
      </c>
      <c r="H9" s="147">
        <f t="shared" si="1"/>
        <v>0.98657022703189667</v>
      </c>
      <c r="I9" s="187">
        <f t="shared" si="2"/>
        <v>9.8657022703189661</v>
      </c>
      <c r="K9" s="363"/>
      <c r="L9" s="362"/>
    </row>
    <row r="10" spans="1:12" ht="30" customHeight="1" x14ac:dyDescent="0.25">
      <c r="A10" s="182" t="s">
        <v>17</v>
      </c>
      <c r="B10" s="182" t="s">
        <v>25</v>
      </c>
      <c r="C10" s="182" t="s">
        <v>26</v>
      </c>
      <c r="D10" s="186" t="s">
        <v>27</v>
      </c>
      <c r="E10" s="174">
        <v>2600</v>
      </c>
      <c r="F10" s="174">
        <v>4794300</v>
      </c>
      <c r="G10" s="147">
        <f t="shared" si="0"/>
        <v>5.4231066057610085E-2</v>
      </c>
      <c r="H10" s="147">
        <f t="shared" si="1"/>
        <v>0.99945768933942392</v>
      </c>
      <c r="I10" s="187">
        <f t="shared" si="2"/>
        <v>9.9945768933942389</v>
      </c>
      <c r="K10" s="363"/>
      <c r="L10" s="362"/>
    </row>
    <row r="11" spans="1:12" ht="40.15" customHeight="1" x14ac:dyDescent="0.25">
      <c r="A11" s="182" t="s">
        <v>18</v>
      </c>
      <c r="B11" s="182" t="s">
        <v>28</v>
      </c>
      <c r="C11" s="182" t="s">
        <v>29</v>
      </c>
      <c r="D11" s="186" t="s">
        <v>30</v>
      </c>
      <c r="E11" s="174">
        <v>4900</v>
      </c>
      <c r="F11" s="174">
        <v>7233300</v>
      </c>
      <c r="G11" s="147">
        <f t="shared" si="0"/>
        <v>6.7742247660127458E-2</v>
      </c>
      <c r="H11" s="147">
        <f t="shared" si="1"/>
        <v>0.9993225775233987</v>
      </c>
      <c r="I11" s="187">
        <f t="shared" si="2"/>
        <v>9.9932257752339879</v>
      </c>
      <c r="K11" s="363"/>
      <c r="L11" s="362"/>
    </row>
    <row r="12" spans="1:12" ht="28.15" customHeight="1" x14ac:dyDescent="0.25">
      <c r="A12" s="182" t="s">
        <v>19</v>
      </c>
      <c r="B12" s="182" t="s">
        <v>31</v>
      </c>
      <c r="C12" s="182" t="s">
        <v>32</v>
      </c>
      <c r="D12" s="186" t="s">
        <v>33</v>
      </c>
      <c r="E12" s="174">
        <v>114700</v>
      </c>
      <c r="F12" s="174">
        <v>5300500</v>
      </c>
      <c r="G12" s="147">
        <f>(E12/F12*100)</f>
        <v>2.1639467974719366</v>
      </c>
      <c r="H12" s="147">
        <f t="shared" si="1"/>
        <v>0.97836053202528062</v>
      </c>
      <c r="I12" s="187">
        <f t="shared" si="2"/>
        <v>9.783605320252807</v>
      </c>
      <c r="K12" s="363"/>
      <c r="L12" s="362"/>
    </row>
    <row r="13" spans="1:12" ht="15.75" x14ac:dyDescent="0.25">
      <c r="A13" s="182" t="s">
        <v>20</v>
      </c>
      <c r="B13" s="182" t="s">
        <v>34</v>
      </c>
      <c r="C13" s="182" t="s">
        <v>35</v>
      </c>
      <c r="D13" s="186" t="s">
        <v>36</v>
      </c>
      <c r="E13" s="174">
        <v>48460500</v>
      </c>
      <c r="F13" s="174">
        <v>262181000</v>
      </c>
      <c r="G13" s="147">
        <f t="shared" si="0"/>
        <v>18.483604837879174</v>
      </c>
      <c r="H13" s="147">
        <f t="shared" si="1"/>
        <v>0</v>
      </c>
      <c r="I13" s="187">
        <f t="shared" si="2"/>
        <v>0</v>
      </c>
      <c r="K13" s="363"/>
      <c r="L13" s="362"/>
    </row>
    <row r="14" spans="1:12" ht="16.899999999999999" customHeight="1" x14ac:dyDescent="0.25">
      <c r="A14" s="182" t="s">
        <v>21</v>
      </c>
      <c r="B14" s="182" t="s">
        <v>40</v>
      </c>
      <c r="C14" s="182" t="s">
        <v>38</v>
      </c>
      <c r="D14" s="186" t="s">
        <v>39</v>
      </c>
      <c r="E14" s="174">
        <v>27041058.780000001</v>
      </c>
      <c r="F14" s="174">
        <v>2191430729.5</v>
      </c>
      <c r="G14" s="147">
        <f t="shared" si="0"/>
        <v>1.2339454045243641</v>
      </c>
      <c r="H14" s="147">
        <f t="shared" si="1"/>
        <v>0.98766054595475639</v>
      </c>
      <c r="I14" s="187">
        <f t="shared" si="2"/>
        <v>9.8766054595475641</v>
      </c>
      <c r="K14" s="363"/>
      <c r="L14" s="362"/>
    </row>
    <row r="15" spans="1:12" ht="15.75" x14ac:dyDescent="0.25">
      <c r="A15" s="188">
        <v>9</v>
      </c>
      <c r="B15" s="182" t="s">
        <v>41</v>
      </c>
      <c r="C15" s="182" t="s">
        <v>42</v>
      </c>
      <c r="D15" s="186" t="s">
        <v>43</v>
      </c>
      <c r="E15" s="174">
        <v>2580230.2999999998</v>
      </c>
      <c r="F15" s="174">
        <v>139869100</v>
      </c>
      <c r="G15" s="147">
        <f t="shared" si="0"/>
        <v>1.8447464808167064</v>
      </c>
      <c r="H15" s="147">
        <f t="shared" si="1"/>
        <v>0.98155253519183294</v>
      </c>
      <c r="I15" s="187">
        <f t="shared" si="2"/>
        <v>9.8155253519183301</v>
      </c>
      <c r="K15" s="363"/>
      <c r="L15" s="362"/>
    </row>
    <row r="16" spans="1:12" ht="15.75" x14ac:dyDescent="0.25">
      <c r="A16" s="188">
        <v>10</v>
      </c>
      <c r="B16" s="182" t="s">
        <v>44</v>
      </c>
      <c r="C16" s="182" t="s">
        <v>45</v>
      </c>
      <c r="D16" s="186" t="s">
        <v>46</v>
      </c>
      <c r="E16" s="174">
        <v>1411700</v>
      </c>
      <c r="F16" s="174">
        <v>95170200</v>
      </c>
      <c r="G16" s="147">
        <f t="shared" si="0"/>
        <v>1.4833424748503208</v>
      </c>
      <c r="H16" s="147">
        <f t="shared" si="1"/>
        <v>0.98516657525149676</v>
      </c>
      <c r="I16" s="187">
        <f t="shared" si="2"/>
        <v>9.8516657525149682</v>
      </c>
      <c r="K16" s="363"/>
      <c r="L16" s="362"/>
    </row>
    <row r="17" spans="1:12" ht="18" customHeight="1" x14ac:dyDescent="0.25">
      <c r="A17" s="188">
        <v>11</v>
      </c>
      <c r="B17" s="182" t="s">
        <v>47</v>
      </c>
      <c r="C17" s="182" t="s">
        <v>48</v>
      </c>
      <c r="D17" s="186" t="s">
        <v>49</v>
      </c>
      <c r="E17" s="174">
        <v>1287900</v>
      </c>
      <c r="F17" s="174">
        <v>17925400</v>
      </c>
      <c r="G17" s="147">
        <f t="shared" si="0"/>
        <v>7.1847769087440172</v>
      </c>
      <c r="H17" s="147">
        <f t="shared" si="1"/>
        <v>0.92815223091255983</v>
      </c>
      <c r="I17" s="187">
        <f t="shared" si="2"/>
        <v>9.2815223091255987</v>
      </c>
      <c r="K17" s="363"/>
      <c r="L17" s="362"/>
    </row>
    <row r="18" spans="1:12" ht="32.450000000000003" customHeight="1" x14ac:dyDescent="0.25">
      <c r="A18" s="182" t="s">
        <v>37</v>
      </c>
      <c r="B18" s="182" t="s">
        <v>50</v>
      </c>
      <c r="C18" s="182" t="s">
        <v>51</v>
      </c>
      <c r="D18" s="186" t="s">
        <v>52</v>
      </c>
      <c r="E18" s="174">
        <v>148500</v>
      </c>
      <c r="F18" s="174">
        <v>105233000</v>
      </c>
      <c r="G18" s="147">
        <f t="shared" si="0"/>
        <v>0.14111542957057197</v>
      </c>
      <c r="H18" s="147">
        <f t="shared" si="1"/>
        <v>0.99858884570429429</v>
      </c>
      <c r="I18" s="187">
        <f t="shared" si="2"/>
        <v>9.9858884570429431</v>
      </c>
      <c r="K18" s="363"/>
      <c r="L18" s="362"/>
    </row>
    <row r="19" spans="1:12" ht="15.75" x14ac:dyDescent="0.25">
      <c r="A19" s="399" t="s">
        <v>58</v>
      </c>
      <c r="B19" s="399"/>
      <c r="C19" s="399"/>
      <c r="D19" s="399"/>
      <c r="E19" s="272">
        <f>E7+E8+E9+E10+E11+E12+E13+E14+E15+E16+E17+E18</f>
        <v>107123460.61999999</v>
      </c>
      <c r="F19" s="272">
        <f t="shared" ref="F19:I19" si="3">F7+F8+F9+F10+F11+F12+F13+F14+F15+F16+F17+F18</f>
        <v>3953747267.5</v>
      </c>
      <c r="G19" s="279">
        <f t="shared" si="3"/>
        <v>36.353937665405695</v>
      </c>
      <c r="H19" s="279">
        <f t="shared" si="3"/>
        <v>10.821296671724733</v>
      </c>
      <c r="I19" s="279">
        <f t="shared" si="3"/>
        <v>108.21296671724734</v>
      </c>
      <c r="K19" s="362"/>
      <c r="L19" s="362"/>
    </row>
    <row r="20" spans="1:12" ht="15.75" x14ac:dyDescent="0.25">
      <c r="A20" s="400" t="s">
        <v>185</v>
      </c>
      <c r="B20" s="400"/>
      <c r="C20" s="400"/>
      <c r="D20" s="400"/>
      <c r="E20" s="262"/>
      <c r="F20" s="263"/>
      <c r="G20" s="187">
        <f>G19/12</f>
        <v>3.0294948054504744</v>
      </c>
      <c r="H20" s="187">
        <f t="shared" ref="H20:I20" si="4">H19/12</f>
        <v>0.90177472264372771</v>
      </c>
      <c r="I20" s="187">
        <f t="shared" si="4"/>
        <v>9.0177472264372778</v>
      </c>
      <c r="K20" s="362"/>
      <c r="L20" s="362"/>
    </row>
    <row r="21" spans="1:12" ht="15.75" x14ac:dyDescent="0.25">
      <c r="A21" s="13"/>
      <c r="B21" s="13"/>
      <c r="C21" s="13"/>
      <c r="D21" s="13"/>
      <c r="E21" s="14"/>
      <c r="F21" s="15"/>
      <c r="G21" s="16"/>
      <c r="H21" s="16"/>
      <c r="I21" s="260"/>
      <c r="K21" s="362"/>
      <c r="L21" s="362"/>
    </row>
    <row r="22" spans="1:12" ht="15.75" x14ac:dyDescent="0.25">
      <c r="A22" s="13"/>
      <c r="B22" s="13"/>
      <c r="C22" s="13"/>
      <c r="D22" s="13"/>
      <c r="E22" s="37"/>
      <c r="F22" s="15"/>
      <c r="G22" s="15"/>
      <c r="H22" s="15"/>
      <c r="I22" s="15"/>
    </row>
    <row r="23" spans="1:12" ht="15.75" x14ac:dyDescent="0.25">
      <c r="A23" s="398" t="s">
        <v>197</v>
      </c>
      <c r="B23" s="398"/>
      <c r="C23" s="398"/>
      <c r="D23" s="398"/>
      <c r="E23" s="398"/>
      <c r="F23" s="398"/>
      <c r="G23" s="398"/>
      <c r="H23" s="398"/>
      <c r="I23" s="398"/>
    </row>
    <row r="24" spans="1:12" ht="15.75" x14ac:dyDescent="0.25">
      <c r="A24" s="389"/>
      <c r="B24" s="390"/>
      <c r="C24" s="391"/>
      <c r="D24" s="15"/>
      <c r="E24" s="15"/>
      <c r="F24" s="15"/>
      <c r="G24" s="15"/>
      <c r="H24" s="15"/>
      <c r="I24" s="15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view="pageBreakPreview" zoomScale="60" zoomScaleNormal="86" workbookViewId="0">
      <selection activeCell="M26" sqref="M26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62.42578125" style="22" customWidth="1"/>
    <col min="5" max="5" width="19.5703125" style="22" customWidth="1"/>
    <col min="6" max="6" width="16.28515625" style="15" customWidth="1"/>
    <col min="7" max="7" width="21" style="15" customWidth="1"/>
    <col min="8" max="8" width="12.140625" style="15" customWidth="1"/>
    <col min="9" max="16384" width="9.140625" style="22"/>
  </cols>
  <sheetData>
    <row r="1" spans="1:8" ht="48.75" customHeight="1" x14ac:dyDescent="0.25">
      <c r="A1" s="477" t="s">
        <v>84</v>
      </c>
      <c r="B1" s="478"/>
      <c r="C1" s="478"/>
      <c r="D1" s="478"/>
      <c r="E1" s="478"/>
      <c r="F1" s="478"/>
      <c r="G1" s="478"/>
      <c r="H1" s="478"/>
    </row>
    <row r="2" spans="1:8" ht="16.5" thickBot="1" x14ac:dyDescent="0.3">
      <c r="D2" s="135" t="s">
        <v>75</v>
      </c>
      <c r="E2" s="136" t="s">
        <v>206</v>
      </c>
    </row>
    <row r="3" spans="1:8" ht="50.25" customHeight="1" x14ac:dyDescent="0.25">
      <c r="A3" s="75" t="s">
        <v>0</v>
      </c>
      <c r="B3" s="76"/>
      <c r="C3" s="76" t="s">
        <v>1</v>
      </c>
      <c r="D3" s="76" t="s">
        <v>2</v>
      </c>
      <c r="E3" s="472" t="s">
        <v>60</v>
      </c>
      <c r="F3" s="473"/>
      <c r="G3" s="77" t="s">
        <v>63</v>
      </c>
      <c r="H3" s="474" t="s">
        <v>57</v>
      </c>
    </row>
    <row r="4" spans="1:8" ht="50.25" customHeight="1" x14ac:dyDescent="0.25">
      <c r="A4" s="78"/>
      <c r="B4" s="74"/>
      <c r="C4" s="74"/>
      <c r="D4" s="74"/>
      <c r="E4" s="74" t="s">
        <v>61</v>
      </c>
      <c r="F4" s="72" t="s">
        <v>79</v>
      </c>
      <c r="G4" s="72" t="s">
        <v>71</v>
      </c>
      <c r="H4" s="475"/>
    </row>
    <row r="5" spans="1:8" ht="48.75" customHeight="1" thickBot="1" x14ac:dyDescent="0.3">
      <c r="A5" s="154"/>
      <c r="B5" s="155"/>
      <c r="C5" s="155"/>
      <c r="D5" s="155"/>
      <c r="E5" s="155"/>
      <c r="F5" s="156" t="s">
        <v>62</v>
      </c>
      <c r="G5" s="157" t="s">
        <v>64</v>
      </c>
      <c r="H5" s="476"/>
    </row>
    <row r="6" spans="1:8" x14ac:dyDescent="0.25">
      <c r="A6" s="148" t="s">
        <v>8</v>
      </c>
      <c r="B6" s="149" t="s">
        <v>9</v>
      </c>
      <c r="C6" s="149" t="s">
        <v>10</v>
      </c>
      <c r="D6" s="150" t="s">
        <v>11</v>
      </c>
      <c r="E6" s="151">
        <v>0</v>
      </c>
      <c r="F6" s="152">
        <v>0</v>
      </c>
      <c r="G6" s="158">
        <f>IF(F6&lt;10,(1-(F6/10)),0)</f>
        <v>1</v>
      </c>
      <c r="H6" s="153">
        <f>G6*5</f>
        <v>5</v>
      </c>
    </row>
    <row r="7" spans="1:8" x14ac:dyDescent="0.25">
      <c r="A7" s="29" t="s">
        <v>15</v>
      </c>
      <c r="B7" s="30" t="s">
        <v>12</v>
      </c>
      <c r="C7" s="30" t="s">
        <v>13</v>
      </c>
      <c r="D7" s="31" t="s">
        <v>14</v>
      </c>
      <c r="E7" s="1">
        <v>0</v>
      </c>
      <c r="F7" s="79">
        <v>0</v>
      </c>
      <c r="G7" s="147">
        <f t="shared" ref="G7:G17" si="0">IF(F7&lt;10,(1-(F7/10)),0)</f>
        <v>1</v>
      </c>
      <c r="H7" s="9">
        <f t="shared" ref="H7:H17" si="1">G7*5</f>
        <v>5</v>
      </c>
    </row>
    <row r="8" spans="1:8" x14ac:dyDescent="0.25">
      <c r="A8" s="29" t="s">
        <v>16</v>
      </c>
      <c r="B8" s="30" t="s">
        <v>22</v>
      </c>
      <c r="C8" s="30" t="s">
        <v>23</v>
      </c>
      <c r="D8" s="31" t="s">
        <v>24</v>
      </c>
      <c r="E8" s="1">
        <v>0</v>
      </c>
      <c r="F8" s="79">
        <v>0</v>
      </c>
      <c r="G8" s="147">
        <f t="shared" si="0"/>
        <v>1</v>
      </c>
      <c r="H8" s="9">
        <f t="shared" si="1"/>
        <v>5</v>
      </c>
    </row>
    <row r="9" spans="1:8" ht="18.75" customHeight="1" x14ac:dyDescent="0.25">
      <c r="A9" s="29" t="s">
        <v>17</v>
      </c>
      <c r="B9" s="30" t="s">
        <v>25</v>
      </c>
      <c r="C9" s="30" t="s">
        <v>26</v>
      </c>
      <c r="D9" s="31" t="s">
        <v>27</v>
      </c>
      <c r="E9" s="1">
        <v>0</v>
      </c>
      <c r="F9" s="79">
        <v>0</v>
      </c>
      <c r="G9" s="147">
        <f t="shared" si="0"/>
        <v>1</v>
      </c>
      <c r="H9" s="9">
        <f t="shared" si="1"/>
        <v>5</v>
      </c>
    </row>
    <row r="10" spans="1:8" ht="31.5" x14ac:dyDescent="0.25">
      <c r="A10" s="29" t="s">
        <v>18</v>
      </c>
      <c r="B10" s="30" t="s">
        <v>28</v>
      </c>
      <c r="C10" s="30" t="s">
        <v>29</v>
      </c>
      <c r="D10" s="31" t="s">
        <v>30</v>
      </c>
      <c r="E10" s="1">
        <v>0</v>
      </c>
      <c r="F10" s="79">
        <v>0</v>
      </c>
      <c r="G10" s="147">
        <f t="shared" si="0"/>
        <v>1</v>
      </c>
      <c r="H10" s="9">
        <f t="shared" si="1"/>
        <v>5</v>
      </c>
    </row>
    <row r="11" spans="1:8" ht="18" customHeight="1" x14ac:dyDescent="0.25">
      <c r="A11" s="29" t="s">
        <v>19</v>
      </c>
      <c r="B11" s="30" t="s">
        <v>31</v>
      </c>
      <c r="C11" s="30" t="s">
        <v>32</v>
      </c>
      <c r="D11" s="31" t="s">
        <v>33</v>
      </c>
      <c r="E11" s="1">
        <v>0</v>
      </c>
      <c r="F11" s="79">
        <v>0</v>
      </c>
      <c r="G11" s="147">
        <f t="shared" si="0"/>
        <v>1</v>
      </c>
      <c r="H11" s="9">
        <f t="shared" si="1"/>
        <v>5</v>
      </c>
    </row>
    <row r="12" spans="1:8" x14ac:dyDescent="0.25">
      <c r="A12" s="29" t="s">
        <v>20</v>
      </c>
      <c r="B12" s="30" t="s">
        <v>34</v>
      </c>
      <c r="C12" s="30" t="s">
        <v>35</v>
      </c>
      <c r="D12" s="31" t="s">
        <v>36</v>
      </c>
      <c r="E12" s="1">
        <v>0</v>
      </c>
      <c r="F12" s="79">
        <v>0</v>
      </c>
      <c r="G12" s="147">
        <f t="shared" si="0"/>
        <v>1</v>
      </c>
      <c r="H12" s="9">
        <f t="shared" si="1"/>
        <v>5</v>
      </c>
    </row>
    <row r="13" spans="1:8" x14ac:dyDescent="0.25">
      <c r="A13" s="29" t="s">
        <v>21</v>
      </c>
      <c r="B13" s="30" t="s">
        <v>40</v>
      </c>
      <c r="C13" s="30" t="s">
        <v>38</v>
      </c>
      <c r="D13" s="31" t="s">
        <v>39</v>
      </c>
      <c r="E13" s="1">
        <v>0</v>
      </c>
      <c r="F13" s="79">
        <v>0</v>
      </c>
      <c r="G13" s="147">
        <f t="shared" si="0"/>
        <v>1</v>
      </c>
      <c r="H13" s="9">
        <f t="shared" si="1"/>
        <v>5</v>
      </c>
    </row>
    <row r="14" spans="1:8" x14ac:dyDescent="0.25">
      <c r="A14" s="32">
        <v>9</v>
      </c>
      <c r="B14" s="30" t="s">
        <v>41</v>
      </c>
      <c r="C14" s="30" t="s">
        <v>42</v>
      </c>
      <c r="D14" s="31" t="s">
        <v>43</v>
      </c>
      <c r="E14" s="1">
        <v>0</v>
      </c>
      <c r="F14" s="79">
        <v>0</v>
      </c>
      <c r="G14" s="147">
        <f t="shared" si="0"/>
        <v>1</v>
      </c>
      <c r="H14" s="9">
        <f t="shared" si="1"/>
        <v>5</v>
      </c>
    </row>
    <row r="15" spans="1:8" x14ac:dyDescent="0.25">
      <c r="A15" s="32">
        <v>10</v>
      </c>
      <c r="B15" s="30" t="s">
        <v>44</v>
      </c>
      <c r="C15" s="30" t="s">
        <v>45</v>
      </c>
      <c r="D15" s="31" t="s">
        <v>46</v>
      </c>
      <c r="E15" s="1">
        <v>0</v>
      </c>
      <c r="F15" s="79">
        <v>0</v>
      </c>
      <c r="G15" s="147">
        <f t="shared" si="0"/>
        <v>1</v>
      </c>
      <c r="H15" s="9">
        <f t="shared" si="1"/>
        <v>5</v>
      </c>
    </row>
    <row r="16" spans="1:8" x14ac:dyDescent="0.25">
      <c r="A16" s="32">
        <v>11</v>
      </c>
      <c r="B16" s="30" t="s">
        <v>47</v>
      </c>
      <c r="C16" s="30" t="s">
        <v>48</v>
      </c>
      <c r="D16" s="31" t="s">
        <v>49</v>
      </c>
      <c r="E16" s="1">
        <v>0</v>
      </c>
      <c r="F16" s="79">
        <v>0</v>
      </c>
      <c r="G16" s="147">
        <f t="shared" si="0"/>
        <v>1</v>
      </c>
      <c r="H16" s="9">
        <f t="shared" si="1"/>
        <v>5</v>
      </c>
    </row>
    <row r="17" spans="1:9" ht="18" customHeight="1" x14ac:dyDescent="0.25">
      <c r="A17" s="29" t="s">
        <v>37</v>
      </c>
      <c r="B17" s="30" t="s">
        <v>50</v>
      </c>
      <c r="C17" s="30" t="s">
        <v>51</v>
      </c>
      <c r="D17" s="31" t="s">
        <v>52</v>
      </c>
      <c r="E17" s="1">
        <v>0</v>
      </c>
      <c r="F17" s="79">
        <v>0</v>
      </c>
      <c r="G17" s="147">
        <f t="shared" si="0"/>
        <v>1</v>
      </c>
      <c r="H17" s="9">
        <f t="shared" si="1"/>
        <v>5</v>
      </c>
    </row>
    <row r="18" spans="1:9" s="36" customFormat="1" ht="16.5" thickBot="1" x14ac:dyDescent="0.3">
      <c r="A18" s="33" t="s">
        <v>37</v>
      </c>
      <c r="B18" s="34"/>
      <c r="C18" s="34"/>
      <c r="D18" s="35" t="s">
        <v>58</v>
      </c>
      <c r="E18" s="17">
        <f>E6+E7+E8+E9+E10+E11+E12+E13+E14+E15+E16+E17</f>
        <v>0</v>
      </c>
      <c r="F18" s="19">
        <f>SUM(F6:F17)</f>
        <v>0</v>
      </c>
      <c r="G18" s="20"/>
      <c r="H18" s="21">
        <f>SUM(H6:H17)/12</f>
        <v>5</v>
      </c>
    </row>
    <row r="19" spans="1:9" x14ac:dyDescent="0.25">
      <c r="A19" s="13"/>
      <c r="B19" s="13"/>
      <c r="C19" s="13"/>
      <c r="D19" s="13"/>
      <c r="E19" s="13"/>
    </row>
    <row r="20" spans="1:9" x14ac:dyDescent="0.25">
      <c r="A20" s="13"/>
      <c r="B20" s="13"/>
      <c r="C20" s="13"/>
      <c r="D20" s="13" t="s">
        <v>55</v>
      </c>
      <c r="E20" s="14"/>
      <c r="F20" s="16">
        <f>F18/A18</f>
        <v>0</v>
      </c>
    </row>
    <row r="21" spans="1:9" x14ac:dyDescent="0.25">
      <c r="A21" s="13"/>
      <c r="B21" s="13"/>
      <c r="C21" s="13"/>
      <c r="D21" s="13"/>
      <c r="E21" s="37"/>
    </row>
    <row r="22" spans="1:9" s="15" customFormat="1" x14ac:dyDescent="0.25">
      <c r="A22" s="398" t="s">
        <v>89</v>
      </c>
      <c r="B22" s="398"/>
      <c r="C22" s="398"/>
      <c r="D22" s="398"/>
      <c r="E22" s="398"/>
      <c r="F22" s="398"/>
      <c r="G22" s="398"/>
      <c r="H22" s="398"/>
      <c r="I22" s="398"/>
    </row>
    <row r="23" spans="1:9" s="15" customFormat="1" x14ac:dyDescent="0.25">
      <c r="A23" s="389"/>
      <c r="B23" s="390"/>
      <c r="C23" s="391"/>
    </row>
    <row r="24" spans="1:9" x14ac:dyDescent="0.25">
      <c r="A24" s="13"/>
      <c r="B24" s="13"/>
      <c r="C24" s="13"/>
      <c r="D24" s="13"/>
      <c r="E24" s="13"/>
    </row>
    <row r="25" spans="1:9" x14ac:dyDescent="0.25">
      <c r="A25" s="13"/>
      <c r="B25" s="13"/>
      <c r="C25" s="13"/>
      <c r="D25" s="13"/>
      <c r="E25" s="13"/>
    </row>
    <row r="26" spans="1:9" x14ac:dyDescent="0.25">
      <c r="A26" s="13"/>
      <c r="B26" s="13"/>
      <c r="C26" s="13"/>
      <c r="D26" s="13"/>
      <c r="E26" s="13"/>
    </row>
    <row r="31" spans="1:9" x14ac:dyDescent="0.25">
      <c r="E31" s="38"/>
    </row>
    <row r="33" spans="1:5" x14ac:dyDescent="0.25">
      <c r="A33" s="39"/>
      <c r="B33" s="39"/>
      <c r="C33" s="13"/>
      <c r="D33" s="24"/>
      <c r="E33" s="13"/>
    </row>
  </sheetData>
  <mergeCells count="5">
    <mergeCell ref="E3:F3"/>
    <mergeCell ref="H3:H5"/>
    <mergeCell ref="A1:H1"/>
    <mergeCell ref="A22:I22"/>
    <mergeCell ref="A23:C2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zoomScale="80" zoomScaleNormal="80" workbookViewId="0">
      <selection sqref="A1:I1"/>
    </sheetView>
  </sheetViews>
  <sheetFormatPr defaultColWidth="9.140625" defaultRowHeight="15" x14ac:dyDescent="0.25"/>
  <cols>
    <col min="1" max="1" width="6.7109375" style="192" customWidth="1"/>
    <col min="2" max="2" width="9.140625" style="192" customWidth="1"/>
    <col min="3" max="3" width="13.28515625" style="192" customWidth="1"/>
    <col min="4" max="4" width="34.5703125" style="192" customWidth="1"/>
    <col min="5" max="5" width="17.7109375" style="192" customWidth="1"/>
    <col min="6" max="6" width="17.140625" style="192" customWidth="1"/>
    <col min="7" max="7" width="19.7109375" style="192" customWidth="1"/>
    <col min="8" max="8" width="34.42578125" style="192" customWidth="1"/>
    <col min="9" max="9" width="14" style="192" customWidth="1"/>
    <col min="10" max="16384" width="9.140625" style="192"/>
  </cols>
  <sheetData>
    <row r="1" spans="1:9" ht="18.75" x14ac:dyDescent="0.25">
      <c r="A1" s="480" t="s">
        <v>216</v>
      </c>
      <c r="B1" s="481"/>
      <c r="C1" s="481"/>
      <c r="D1" s="481"/>
      <c r="E1" s="481"/>
      <c r="F1" s="481"/>
      <c r="G1" s="481"/>
      <c r="H1" s="481"/>
      <c r="I1" s="481"/>
    </row>
    <row r="2" spans="1:9" ht="15.6" x14ac:dyDescent="0.3">
      <c r="A2" s="193"/>
      <c r="B2" s="193"/>
      <c r="C2" s="193"/>
      <c r="D2" s="194"/>
      <c r="E2" s="482"/>
      <c r="F2" s="482"/>
      <c r="G2" s="195"/>
      <c r="H2" s="195"/>
      <c r="I2" s="195"/>
    </row>
    <row r="3" spans="1:9" ht="99.75" customHeight="1" x14ac:dyDescent="0.25">
      <c r="A3" s="486" t="s">
        <v>0</v>
      </c>
      <c r="B3" s="486" t="s">
        <v>108</v>
      </c>
      <c r="C3" s="486" t="s">
        <v>1</v>
      </c>
      <c r="D3" s="486" t="s">
        <v>2</v>
      </c>
      <c r="E3" s="190" t="s">
        <v>112</v>
      </c>
      <c r="F3" s="191" t="s">
        <v>111</v>
      </c>
      <c r="G3" s="190" t="s">
        <v>79</v>
      </c>
      <c r="H3" s="190" t="s">
        <v>117</v>
      </c>
      <c r="I3" s="453" t="s">
        <v>57</v>
      </c>
    </row>
    <row r="4" spans="1:9" ht="67.5" customHeight="1" x14ac:dyDescent="0.25">
      <c r="A4" s="487"/>
      <c r="B4" s="487"/>
      <c r="C4" s="487"/>
      <c r="D4" s="487"/>
      <c r="E4" s="196" t="s">
        <v>110</v>
      </c>
      <c r="F4" s="197" t="s">
        <v>109</v>
      </c>
      <c r="G4" s="196" t="s">
        <v>113</v>
      </c>
      <c r="H4" s="206" t="s">
        <v>116</v>
      </c>
      <c r="I4" s="453"/>
    </row>
    <row r="5" spans="1:9" ht="27" customHeight="1" x14ac:dyDescent="0.25">
      <c r="A5" s="182" t="s">
        <v>8</v>
      </c>
      <c r="B5" s="182" t="s">
        <v>9</v>
      </c>
      <c r="C5" s="182" t="s">
        <v>10</v>
      </c>
      <c r="D5" s="198" t="s">
        <v>11</v>
      </c>
      <c r="E5" s="320"/>
      <c r="F5" s="320"/>
      <c r="G5" s="187" t="e">
        <f>(F5/E5)*100</f>
        <v>#DIV/0!</v>
      </c>
      <c r="H5" s="187">
        <v>1</v>
      </c>
      <c r="I5" s="187">
        <f>H5*5</f>
        <v>5</v>
      </c>
    </row>
    <row r="6" spans="1:9" ht="27" customHeight="1" x14ac:dyDescent="0.25">
      <c r="A6" s="182" t="s">
        <v>15</v>
      </c>
      <c r="B6" s="182" t="s">
        <v>12</v>
      </c>
      <c r="C6" s="182" t="s">
        <v>13</v>
      </c>
      <c r="D6" s="198" t="s">
        <v>14</v>
      </c>
      <c r="E6" s="320">
        <v>147369495.69</v>
      </c>
      <c r="F6" s="320">
        <v>148777521.41999999</v>
      </c>
      <c r="G6" s="187">
        <f t="shared" ref="G6:G16" si="0">(F6/E6)*100</f>
        <v>100.95543906383575</v>
      </c>
      <c r="H6" s="187">
        <v>1</v>
      </c>
      <c r="I6" s="187">
        <f>H6*5</f>
        <v>5</v>
      </c>
    </row>
    <row r="7" spans="1:9" ht="27" customHeight="1" x14ac:dyDescent="0.25">
      <c r="A7" s="182" t="s">
        <v>16</v>
      </c>
      <c r="B7" s="182" t="s">
        <v>22</v>
      </c>
      <c r="C7" s="182" t="s">
        <v>23</v>
      </c>
      <c r="D7" s="198" t="s">
        <v>24</v>
      </c>
      <c r="E7" s="320">
        <v>283.5</v>
      </c>
      <c r="F7" s="320">
        <v>283.5</v>
      </c>
      <c r="G7" s="187">
        <f t="shared" si="0"/>
        <v>100</v>
      </c>
      <c r="H7" s="187">
        <v>1</v>
      </c>
      <c r="I7" s="187">
        <f t="shared" ref="I7:I15" si="1">H7*5</f>
        <v>5</v>
      </c>
    </row>
    <row r="8" spans="1:9" ht="27" customHeight="1" x14ac:dyDescent="0.25">
      <c r="A8" s="182" t="s">
        <v>17</v>
      </c>
      <c r="B8" s="182" t="s">
        <v>25</v>
      </c>
      <c r="C8" s="182" t="s">
        <v>26</v>
      </c>
      <c r="D8" s="198" t="s">
        <v>27</v>
      </c>
      <c r="E8" s="320">
        <v>20000</v>
      </c>
      <c r="F8" s="320">
        <v>20000</v>
      </c>
      <c r="G8" s="187">
        <f t="shared" si="0"/>
        <v>100</v>
      </c>
      <c r="H8" s="187">
        <v>1</v>
      </c>
      <c r="I8" s="187">
        <f t="shared" si="1"/>
        <v>5</v>
      </c>
    </row>
    <row r="9" spans="1:9" ht="40.5" customHeight="1" x14ac:dyDescent="0.25">
      <c r="A9" s="182" t="s">
        <v>18</v>
      </c>
      <c r="B9" s="182" t="s">
        <v>28</v>
      </c>
      <c r="C9" s="182" t="s">
        <v>29</v>
      </c>
      <c r="D9" s="198" t="s">
        <v>30</v>
      </c>
      <c r="E9" s="320">
        <v>7723.23</v>
      </c>
      <c r="F9" s="320">
        <v>7723.23</v>
      </c>
      <c r="G9" s="187">
        <f t="shared" si="0"/>
        <v>100</v>
      </c>
      <c r="H9" s="187">
        <v>1</v>
      </c>
      <c r="I9" s="187">
        <f t="shared" si="1"/>
        <v>5</v>
      </c>
    </row>
    <row r="10" spans="1:9" ht="27" customHeight="1" x14ac:dyDescent="0.25">
      <c r="A10" s="182" t="s">
        <v>19</v>
      </c>
      <c r="B10" s="182" t="s">
        <v>31</v>
      </c>
      <c r="C10" s="182" t="s">
        <v>32</v>
      </c>
      <c r="D10" s="198" t="s">
        <v>33</v>
      </c>
      <c r="E10" s="320"/>
      <c r="F10" s="320"/>
      <c r="G10" s="187" t="e">
        <f t="shared" si="0"/>
        <v>#DIV/0!</v>
      </c>
      <c r="H10" s="187">
        <v>1</v>
      </c>
      <c r="I10" s="187">
        <f t="shared" si="1"/>
        <v>5</v>
      </c>
    </row>
    <row r="11" spans="1:9" ht="27" customHeight="1" x14ac:dyDescent="0.25">
      <c r="A11" s="182" t="s">
        <v>20</v>
      </c>
      <c r="B11" s="182" t="s">
        <v>34</v>
      </c>
      <c r="C11" s="182" t="s">
        <v>35</v>
      </c>
      <c r="D11" s="198" t="s">
        <v>36</v>
      </c>
      <c r="E11" s="320">
        <v>3755566.94</v>
      </c>
      <c r="F11" s="320">
        <v>3753203.54</v>
      </c>
      <c r="G11" s="187">
        <f t="shared" si="0"/>
        <v>99.937069421534531</v>
      </c>
      <c r="H11" s="187">
        <v>0.5</v>
      </c>
      <c r="I11" s="187">
        <f t="shared" si="1"/>
        <v>2.5</v>
      </c>
    </row>
    <row r="12" spans="1:9" ht="27" customHeight="1" x14ac:dyDescent="0.25">
      <c r="A12" s="182" t="s">
        <v>21</v>
      </c>
      <c r="B12" s="182" t="s">
        <v>40</v>
      </c>
      <c r="C12" s="182" t="s">
        <v>38</v>
      </c>
      <c r="D12" s="198" t="s">
        <v>39</v>
      </c>
      <c r="E12" s="320">
        <v>539534.42000000004</v>
      </c>
      <c r="F12" s="320">
        <v>662847.15</v>
      </c>
      <c r="G12" s="187">
        <f t="shared" si="0"/>
        <v>122.85539632485356</v>
      </c>
      <c r="H12" s="187">
        <v>0.5</v>
      </c>
      <c r="I12" s="187">
        <f>H12*5</f>
        <v>2.5</v>
      </c>
    </row>
    <row r="13" spans="1:9" ht="27" customHeight="1" x14ac:dyDescent="0.25">
      <c r="A13" s="188">
        <v>9</v>
      </c>
      <c r="B13" s="182" t="s">
        <v>41</v>
      </c>
      <c r="C13" s="182" t="s">
        <v>42</v>
      </c>
      <c r="D13" s="198" t="s">
        <v>43</v>
      </c>
      <c r="E13" s="320">
        <v>483.7</v>
      </c>
      <c r="F13" s="320">
        <v>483.7</v>
      </c>
      <c r="G13" s="187">
        <f t="shared" si="0"/>
        <v>100</v>
      </c>
      <c r="H13" s="187">
        <v>1</v>
      </c>
      <c r="I13" s="187">
        <f t="shared" si="1"/>
        <v>5</v>
      </c>
    </row>
    <row r="14" spans="1:9" ht="27" customHeight="1" x14ac:dyDescent="0.25">
      <c r="A14" s="188">
        <v>10</v>
      </c>
      <c r="B14" s="182" t="s">
        <v>44</v>
      </c>
      <c r="C14" s="182" t="s">
        <v>45</v>
      </c>
      <c r="D14" s="198" t="s">
        <v>46</v>
      </c>
      <c r="E14" s="320">
        <v>19050</v>
      </c>
      <c r="F14" s="320">
        <v>19134.68</v>
      </c>
      <c r="G14" s="187">
        <f t="shared" si="0"/>
        <v>100.44451443569554</v>
      </c>
      <c r="H14" s="187">
        <v>1</v>
      </c>
      <c r="I14" s="187">
        <f t="shared" si="1"/>
        <v>5</v>
      </c>
    </row>
    <row r="15" spans="1:9" ht="27" customHeight="1" x14ac:dyDescent="0.25">
      <c r="A15" s="188">
        <v>11</v>
      </c>
      <c r="B15" s="182" t="s">
        <v>47</v>
      </c>
      <c r="C15" s="182" t="s">
        <v>48</v>
      </c>
      <c r="D15" s="198" t="s">
        <v>49</v>
      </c>
      <c r="E15" s="320">
        <v>12002.32</v>
      </c>
      <c r="F15" s="320">
        <v>12002.32</v>
      </c>
      <c r="G15" s="187">
        <f t="shared" si="0"/>
        <v>100</v>
      </c>
      <c r="H15" s="187">
        <v>1</v>
      </c>
      <c r="I15" s="187">
        <f t="shared" si="1"/>
        <v>5</v>
      </c>
    </row>
    <row r="16" spans="1:9" ht="27" customHeight="1" x14ac:dyDescent="0.25">
      <c r="A16" s="182" t="s">
        <v>37</v>
      </c>
      <c r="B16" s="182" t="s">
        <v>50</v>
      </c>
      <c r="C16" s="182" t="s">
        <v>51</v>
      </c>
      <c r="D16" s="198" t="s">
        <v>52</v>
      </c>
      <c r="E16" s="320">
        <v>57088.24</v>
      </c>
      <c r="F16" s="320">
        <v>57088.24</v>
      </c>
      <c r="G16" s="187">
        <f t="shared" si="0"/>
        <v>100</v>
      </c>
      <c r="H16" s="187">
        <v>1</v>
      </c>
      <c r="I16" s="187">
        <f>H16*5</f>
        <v>5</v>
      </c>
    </row>
    <row r="17" spans="1:9" ht="27" customHeight="1" x14ac:dyDescent="0.25">
      <c r="A17" s="199"/>
      <c r="B17" s="199"/>
      <c r="C17" s="199"/>
      <c r="D17" s="200" t="s">
        <v>58</v>
      </c>
      <c r="E17" s="205">
        <f>SUM(E5:E16)</f>
        <v>151781228.03999996</v>
      </c>
      <c r="F17" s="205">
        <f>SUM(F5:F16)</f>
        <v>153310287.77999997</v>
      </c>
      <c r="G17" s="189">
        <f>(F17/E17)*100</f>
        <v>101.007410310053</v>
      </c>
      <c r="H17" s="189">
        <f>SUM(H5:H16)</f>
        <v>11</v>
      </c>
      <c r="I17" s="189">
        <f>SUM(I5:I16)/12</f>
        <v>4.583333333333333</v>
      </c>
    </row>
    <row r="18" spans="1:9" ht="15.75" x14ac:dyDescent="0.25">
      <c r="A18" s="201"/>
      <c r="B18" s="201"/>
      <c r="C18" s="201"/>
      <c r="D18" s="201"/>
      <c r="E18" s="202"/>
      <c r="F18" s="195"/>
      <c r="G18" s="195"/>
      <c r="H18" s="195"/>
      <c r="I18" s="195"/>
    </row>
    <row r="19" spans="1:9" s="204" customFormat="1" ht="18.75" x14ac:dyDescent="0.25">
      <c r="A19" s="488" t="s">
        <v>114</v>
      </c>
      <c r="B19" s="488"/>
      <c r="C19" s="488"/>
      <c r="D19" s="488"/>
      <c r="E19" s="488"/>
      <c r="F19" s="488"/>
      <c r="G19" s="203"/>
      <c r="H19" s="479" t="s">
        <v>115</v>
      </c>
      <c r="I19" s="479"/>
    </row>
    <row r="20" spans="1:9" ht="15.75" x14ac:dyDescent="0.25">
      <c r="A20" s="483"/>
      <c r="B20" s="484"/>
      <c r="C20" s="485"/>
      <c r="D20" s="195"/>
      <c r="E20" s="195"/>
      <c r="F20" s="195"/>
      <c r="G20" s="195"/>
      <c r="H20" s="195"/>
      <c r="I20" s="195"/>
    </row>
  </sheetData>
  <mergeCells count="10">
    <mergeCell ref="H19:I19"/>
    <mergeCell ref="A1:I1"/>
    <mergeCell ref="E2:F2"/>
    <mergeCell ref="I3:I4"/>
    <mergeCell ref="A20:C20"/>
    <mergeCell ref="A3:A4"/>
    <mergeCell ref="B3:B4"/>
    <mergeCell ref="C3:C4"/>
    <mergeCell ref="D3:D4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4"/>
  <sheetViews>
    <sheetView view="pageBreakPreview" zoomScale="76" zoomScaleNormal="100" zoomScaleSheetLayoutView="76" workbookViewId="0">
      <selection activeCell="E17" sqref="E17"/>
    </sheetView>
  </sheetViews>
  <sheetFormatPr defaultRowHeight="15" x14ac:dyDescent="0.25"/>
  <cols>
    <col min="1" max="1" width="6.7109375" customWidth="1"/>
    <col min="2" max="2" width="10.85546875" customWidth="1"/>
    <col min="3" max="3" width="13.28515625" customWidth="1"/>
    <col min="4" max="4" width="28.85546875" customWidth="1"/>
    <col min="5" max="5" width="17.5703125" customWidth="1"/>
    <col min="6" max="6" width="19.42578125" customWidth="1"/>
    <col min="7" max="7" width="19.7109375" customWidth="1"/>
    <col min="8" max="8" width="24.5703125" customWidth="1"/>
    <col min="9" max="9" width="14" customWidth="1"/>
  </cols>
  <sheetData>
    <row r="2" spans="1:9" ht="33.6" customHeight="1" x14ac:dyDescent="0.25">
      <c r="A2" s="392" t="s">
        <v>208</v>
      </c>
      <c r="B2" s="393"/>
      <c r="C2" s="393"/>
      <c r="D2" s="393"/>
      <c r="E2" s="393"/>
      <c r="F2" s="393"/>
      <c r="G2" s="393"/>
      <c r="H2" s="393"/>
      <c r="I2" s="393"/>
    </row>
    <row r="3" spans="1:9" ht="15.6" x14ac:dyDescent="0.3">
      <c r="A3" s="22"/>
      <c r="B3" s="22"/>
      <c r="C3" s="22"/>
      <c r="D3" s="160"/>
      <c r="E3" s="394"/>
      <c r="F3" s="394"/>
      <c r="G3" s="15"/>
      <c r="H3" s="15"/>
      <c r="I3" s="15"/>
    </row>
    <row r="4" spans="1:9" ht="56.25" customHeight="1" x14ac:dyDescent="0.25">
      <c r="A4" s="216" t="s">
        <v>0</v>
      </c>
      <c r="B4" s="216" t="s">
        <v>108</v>
      </c>
      <c r="C4" s="216" t="s">
        <v>1</v>
      </c>
      <c r="D4" s="216" t="s">
        <v>2</v>
      </c>
      <c r="E4" s="395" t="s">
        <v>101</v>
      </c>
      <c r="F4" s="395"/>
      <c r="G4" s="280"/>
      <c r="H4" s="280"/>
      <c r="I4" s="396" t="s">
        <v>57</v>
      </c>
    </row>
    <row r="5" spans="1:9" ht="39" customHeight="1" x14ac:dyDescent="0.25">
      <c r="A5" s="216"/>
      <c r="B5" s="216"/>
      <c r="C5" s="216"/>
      <c r="D5" s="216"/>
      <c r="E5" s="216" t="s">
        <v>102</v>
      </c>
      <c r="F5" s="280" t="s">
        <v>94</v>
      </c>
      <c r="G5" s="280" t="s">
        <v>79</v>
      </c>
      <c r="H5" s="280" t="s">
        <v>72</v>
      </c>
      <c r="I5" s="397"/>
    </row>
    <row r="6" spans="1:9" ht="35.450000000000003" customHeight="1" x14ac:dyDescent="0.25">
      <c r="A6" s="216"/>
      <c r="B6" s="216"/>
      <c r="C6" s="216"/>
      <c r="D6" s="216"/>
      <c r="E6" s="216" t="s">
        <v>103</v>
      </c>
      <c r="F6" s="280" t="s">
        <v>104</v>
      </c>
      <c r="G6" s="280" t="s">
        <v>105</v>
      </c>
      <c r="H6" s="281" t="s">
        <v>106</v>
      </c>
      <c r="I6" s="397"/>
    </row>
    <row r="7" spans="1:9" ht="30" customHeight="1" x14ac:dyDescent="0.25">
      <c r="A7" s="182" t="s">
        <v>8</v>
      </c>
      <c r="B7" s="182" t="s">
        <v>9</v>
      </c>
      <c r="C7" s="182" t="s">
        <v>10</v>
      </c>
      <c r="D7" s="186" t="s">
        <v>11</v>
      </c>
      <c r="E7" s="174">
        <v>0</v>
      </c>
      <c r="F7" s="174">
        <v>0</v>
      </c>
      <c r="G7" s="147" t="e">
        <f t="shared" ref="G7:G18" si="0">(F7/E7)*100</f>
        <v>#DIV/0!</v>
      </c>
      <c r="H7" s="147">
        <v>1</v>
      </c>
      <c r="I7" s="187">
        <f>H7*5</f>
        <v>5</v>
      </c>
    </row>
    <row r="8" spans="1:9" ht="25.5" x14ac:dyDescent="0.25">
      <c r="A8" s="182" t="s">
        <v>15</v>
      </c>
      <c r="B8" s="182" t="s">
        <v>12</v>
      </c>
      <c r="C8" s="182" t="s">
        <v>13</v>
      </c>
      <c r="D8" s="186" t="s">
        <v>14</v>
      </c>
      <c r="E8" s="174">
        <v>11700</v>
      </c>
      <c r="F8" s="174">
        <v>11700</v>
      </c>
      <c r="G8" s="147">
        <f t="shared" si="0"/>
        <v>100</v>
      </c>
      <c r="H8" s="147">
        <v>1</v>
      </c>
      <c r="I8" s="187">
        <f>H8*5</f>
        <v>5</v>
      </c>
    </row>
    <row r="9" spans="1:9" ht="25.5" x14ac:dyDescent="0.25">
      <c r="A9" s="182" t="s">
        <v>16</v>
      </c>
      <c r="B9" s="182" t="s">
        <v>22</v>
      </c>
      <c r="C9" s="182" t="s">
        <v>23</v>
      </c>
      <c r="D9" s="186" t="s">
        <v>24</v>
      </c>
      <c r="E9" s="174">
        <v>0</v>
      </c>
      <c r="F9" s="174">
        <v>0</v>
      </c>
      <c r="G9" s="147" t="e">
        <f t="shared" si="0"/>
        <v>#DIV/0!</v>
      </c>
      <c r="H9" s="147">
        <v>1</v>
      </c>
      <c r="I9" s="187">
        <f t="shared" ref="I9:I18" si="1">H9*5</f>
        <v>5</v>
      </c>
    </row>
    <row r="10" spans="1:9" ht="27" customHeight="1" x14ac:dyDescent="0.25">
      <c r="A10" s="182" t="s">
        <v>17</v>
      </c>
      <c r="B10" s="182" t="s">
        <v>25</v>
      </c>
      <c r="C10" s="182" t="s">
        <v>26</v>
      </c>
      <c r="D10" s="186" t="s">
        <v>27</v>
      </c>
      <c r="E10" s="174">
        <v>0</v>
      </c>
      <c r="F10" s="174">
        <v>0</v>
      </c>
      <c r="G10" s="147" t="e">
        <f t="shared" si="0"/>
        <v>#DIV/0!</v>
      </c>
      <c r="H10" s="147">
        <v>1</v>
      </c>
      <c r="I10" s="187">
        <f t="shared" si="1"/>
        <v>5</v>
      </c>
    </row>
    <row r="11" spans="1:9" ht="43.15" customHeight="1" x14ac:dyDescent="0.25">
      <c r="A11" s="182" t="s">
        <v>18</v>
      </c>
      <c r="B11" s="182" t="s">
        <v>28</v>
      </c>
      <c r="C11" s="182" t="s">
        <v>29</v>
      </c>
      <c r="D11" s="186" t="s">
        <v>30</v>
      </c>
      <c r="E11" s="174">
        <v>0</v>
      </c>
      <c r="F11" s="174">
        <v>0</v>
      </c>
      <c r="G11" s="147" t="e">
        <f t="shared" si="0"/>
        <v>#DIV/0!</v>
      </c>
      <c r="H11" s="147">
        <v>1</v>
      </c>
      <c r="I11" s="187">
        <f t="shared" si="1"/>
        <v>5</v>
      </c>
    </row>
    <row r="12" spans="1:9" ht="38.25" x14ac:dyDescent="0.25">
      <c r="A12" s="182" t="s">
        <v>19</v>
      </c>
      <c r="B12" s="182" t="s">
        <v>31</v>
      </c>
      <c r="C12" s="182" t="s">
        <v>32</v>
      </c>
      <c r="D12" s="186" t="s">
        <v>33</v>
      </c>
      <c r="E12" s="174">
        <v>0</v>
      </c>
      <c r="F12" s="174">
        <v>0</v>
      </c>
      <c r="G12" s="147" t="e">
        <f t="shared" si="0"/>
        <v>#DIV/0!</v>
      </c>
      <c r="H12" s="147">
        <v>1</v>
      </c>
      <c r="I12" s="187">
        <f t="shared" si="1"/>
        <v>5</v>
      </c>
    </row>
    <row r="13" spans="1:9" ht="15.75" x14ac:dyDescent="0.25">
      <c r="A13" s="182" t="s">
        <v>20</v>
      </c>
      <c r="B13" s="182" t="s">
        <v>34</v>
      </c>
      <c r="C13" s="182" t="s">
        <v>35</v>
      </c>
      <c r="D13" s="186" t="s">
        <v>36</v>
      </c>
      <c r="E13" s="174">
        <v>0</v>
      </c>
      <c r="F13" s="174">
        <v>0</v>
      </c>
      <c r="G13" s="147" t="e">
        <f t="shared" si="0"/>
        <v>#DIV/0!</v>
      </c>
      <c r="H13" s="147">
        <v>1</v>
      </c>
      <c r="I13" s="187">
        <f t="shared" si="1"/>
        <v>5</v>
      </c>
    </row>
    <row r="14" spans="1:9" ht="30.75" customHeight="1" x14ac:dyDescent="0.25">
      <c r="A14" s="182" t="s">
        <v>21</v>
      </c>
      <c r="B14" s="182" t="s">
        <v>40</v>
      </c>
      <c r="C14" s="182" t="s">
        <v>38</v>
      </c>
      <c r="D14" s="186" t="s">
        <v>39</v>
      </c>
      <c r="E14" s="218">
        <v>20285006.609999999</v>
      </c>
      <c r="F14" s="218">
        <v>20285006.609999999</v>
      </c>
      <c r="G14" s="147">
        <f t="shared" si="0"/>
        <v>100</v>
      </c>
      <c r="H14" s="147">
        <v>1</v>
      </c>
      <c r="I14" s="187">
        <f>H14*5</f>
        <v>5</v>
      </c>
    </row>
    <row r="15" spans="1:9" ht="15.75" x14ac:dyDescent="0.25">
      <c r="A15" s="188">
        <v>9</v>
      </c>
      <c r="B15" s="182" t="s">
        <v>41</v>
      </c>
      <c r="C15" s="182" t="s">
        <v>42</v>
      </c>
      <c r="D15" s="186" t="s">
        <v>43</v>
      </c>
      <c r="E15" s="174">
        <v>0</v>
      </c>
      <c r="F15" s="174">
        <v>0</v>
      </c>
      <c r="G15" s="147" t="e">
        <f t="shared" si="0"/>
        <v>#DIV/0!</v>
      </c>
      <c r="H15" s="147">
        <v>1</v>
      </c>
      <c r="I15" s="187">
        <f t="shared" si="1"/>
        <v>5</v>
      </c>
    </row>
    <row r="16" spans="1:9" ht="25.5" x14ac:dyDescent="0.25">
      <c r="A16" s="188">
        <v>10</v>
      </c>
      <c r="B16" s="182" t="s">
        <v>44</v>
      </c>
      <c r="C16" s="182" t="s">
        <v>45</v>
      </c>
      <c r="D16" s="186" t="s">
        <v>46</v>
      </c>
      <c r="E16" s="174">
        <v>0</v>
      </c>
      <c r="F16" s="174">
        <v>0</v>
      </c>
      <c r="G16" s="147" t="e">
        <f t="shared" si="0"/>
        <v>#DIV/0!</v>
      </c>
      <c r="H16" s="147">
        <v>1</v>
      </c>
      <c r="I16" s="187">
        <f t="shared" si="1"/>
        <v>5</v>
      </c>
    </row>
    <row r="17" spans="1:9" ht="25.5" x14ac:dyDescent="0.25">
      <c r="A17" s="188">
        <v>11</v>
      </c>
      <c r="B17" s="182" t="s">
        <v>47</v>
      </c>
      <c r="C17" s="182" t="s">
        <v>48</v>
      </c>
      <c r="D17" s="186" t="s">
        <v>49</v>
      </c>
      <c r="E17" s="174">
        <v>0</v>
      </c>
      <c r="F17" s="174">
        <v>0</v>
      </c>
      <c r="G17" s="147" t="e">
        <f t="shared" si="0"/>
        <v>#DIV/0!</v>
      </c>
      <c r="H17" s="147">
        <v>1</v>
      </c>
      <c r="I17" s="187">
        <f t="shared" si="1"/>
        <v>5</v>
      </c>
    </row>
    <row r="18" spans="1:9" ht="28.15" customHeight="1" x14ac:dyDescent="0.25">
      <c r="A18" s="182" t="s">
        <v>37</v>
      </c>
      <c r="B18" s="182" t="s">
        <v>50</v>
      </c>
      <c r="C18" s="182" t="s">
        <v>51</v>
      </c>
      <c r="D18" s="186" t="s">
        <v>52</v>
      </c>
      <c r="E18" s="174">
        <v>0</v>
      </c>
      <c r="F18" s="174">
        <v>0</v>
      </c>
      <c r="G18" s="147" t="e">
        <f t="shared" si="0"/>
        <v>#DIV/0!</v>
      </c>
      <c r="H18" s="147">
        <v>1</v>
      </c>
      <c r="I18" s="187">
        <f t="shared" si="1"/>
        <v>5</v>
      </c>
    </row>
    <row r="19" spans="1:9" ht="15.75" x14ac:dyDescent="0.25">
      <c r="A19" s="399" t="s">
        <v>58</v>
      </c>
      <c r="B19" s="399"/>
      <c r="C19" s="399"/>
      <c r="D19" s="399"/>
      <c r="E19" s="272">
        <f>E7+E8+E9+E10+E11+E12+E13+E14+E15+E16+E17+E18</f>
        <v>20296706.609999999</v>
      </c>
      <c r="F19" s="273">
        <f>F7+F8+F9+F10+F11+F12+F13+F14+F15+F16+F17+F18</f>
        <v>20296706.609999999</v>
      </c>
      <c r="G19" s="273"/>
      <c r="H19" s="274">
        <f t="shared" ref="H19:I19" si="2">H7+H8+H9+H10+H11+H12+H13+H14+H15+H16+H17+H18</f>
        <v>12</v>
      </c>
      <c r="I19" s="274">
        <f t="shared" si="2"/>
        <v>60</v>
      </c>
    </row>
    <row r="20" spans="1:9" ht="15.75" x14ac:dyDescent="0.25">
      <c r="A20" s="489" t="s">
        <v>185</v>
      </c>
      <c r="B20" s="490"/>
      <c r="C20" s="490"/>
      <c r="D20" s="491"/>
      <c r="E20" s="272"/>
      <c r="F20" s="273"/>
      <c r="G20" s="278"/>
      <c r="H20" s="187">
        <f>H19/12</f>
        <v>1</v>
      </c>
      <c r="I20" s="187">
        <f>I19/12</f>
        <v>5</v>
      </c>
    </row>
    <row r="21" spans="1:9" ht="21" customHeight="1" x14ac:dyDescent="0.25">
      <c r="A21" s="13" t="s">
        <v>202</v>
      </c>
      <c r="B21" s="13"/>
      <c r="C21" s="13"/>
      <c r="D21" s="13"/>
      <c r="E21" s="13"/>
      <c r="F21" s="15"/>
      <c r="G21" s="15"/>
      <c r="H21" s="15"/>
      <c r="I21" s="15"/>
    </row>
    <row r="22" spans="1:9" ht="16.899999999999999" customHeight="1" x14ac:dyDescent="0.25">
      <c r="A22" s="13"/>
      <c r="B22" s="13"/>
      <c r="C22" s="13"/>
      <c r="D22" s="13"/>
      <c r="E22" s="37"/>
      <c r="F22" s="15"/>
      <c r="G22" s="15"/>
      <c r="H22" s="15"/>
      <c r="I22" s="15"/>
    </row>
    <row r="23" spans="1:9" ht="14.45" customHeight="1" x14ac:dyDescent="0.25">
      <c r="A23" s="398" t="s">
        <v>201</v>
      </c>
      <c r="B23" s="398"/>
      <c r="C23" s="398"/>
      <c r="D23" s="398"/>
      <c r="E23" s="398"/>
      <c r="F23" s="398"/>
      <c r="G23" s="398"/>
      <c r="H23" s="398"/>
      <c r="I23" s="398"/>
    </row>
    <row r="24" spans="1:9" ht="15.6" hidden="1" x14ac:dyDescent="0.3">
      <c r="A24" s="389"/>
      <c r="B24" s="390"/>
      <c r="C24" s="391"/>
      <c r="D24" s="15"/>
      <c r="E24" s="15"/>
      <c r="F24" s="15"/>
      <c r="G24" s="15"/>
      <c r="H24" s="15"/>
      <c r="I24" s="15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2"/>
  <sheetViews>
    <sheetView view="pageBreakPreview" zoomScale="80" zoomScaleNormal="100" zoomScaleSheetLayoutView="80" workbookViewId="0">
      <selection activeCell="O4" sqref="O4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17.5703125" customWidth="1"/>
    <col min="6" max="6" width="19.42578125" customWidth="1"/>
    <col min="7" max="7" width="19.7109375" customWidth="1"/>
    <col min="8" max="8" width="24.42578125" customWidth="1"/>
    <col min="9" max="9" width="14" customWidth="1"/>
  </cols>
  <sheetData>
    <row r="2" spans="1:9" x14ac:dyDescent="0.25">
      <c r="A2" s="392" t="s">
        <v>209</v>
      </c>
      <c r="B2" s="393"/>
      <c r="C2" s="393"/>
      <c r="D2" s="393"/>
      <c r="E2" s="393"/>
      <c r="F2" s="393"/>
      <c r="G2" s="393"/>
      <c r="H2" s="393"/>
      <c r="I2" s="393"/>
    </row>
    <row r="3" spans="1:9" ht="16.149999999999999" thickBot="1" x14ac:dyDescent="0.35">
      <c r="A3" s="22"/>
      <c r="B3" s="22"/>
      <c r="C3" s="22"/>
      <c r="D3" s="207"/>
      <c r="E3" s="394"/>
      <c r="F3" s="394"/>
      <c r="G3" s="15"/>
      <c r="H3" s="15"/>
      <c r="I3" s="15"/>
    </row>
    <row r="4" spans="1:9" ht="32.25" thickBot="1" x14ac:dyDescent="0.3">
      <c r="A4" s="162" t="s">
        <v>0</v>
      </c>
      <c r="B4" s="209" t="s">
        <v>108</v>
      </c>
      <c r="C4" s="209" t="s">
        <v>1</v>
      </c>
      <c r="D4" s="209" t="s">
        <v>2</v>
      </c>
      <c r="E4" s="410" t="s">
        <v>225</v>
      </c>
      <c r="F4" s="410"/>
      <c r="G4" s="163"/>
      <c r="H4" s="163"/>
      <c r="I4" s="470" t="s">
        <v>57</v>
      </c>
    </row>
    <row r="5" spans="1:9" ht="34.15" customHeight="1" thickBot="1" x14ac:dyDescent="0.3">
      <c r="A5" s="164"/>
      <c r="B5" s="165"/>
      <c r="C5" s="165"/>
      <c r="D5" s="165"/>
      <c r="E5" s="165" t="s">
        <v>130</v>
      </c>
      <c r="F5" s="166" t="s">
        <v>131</v>
      </c>
      <c r="G5" s="167" t="s">
        <v>79</v>
      </c>
      <c r="H5" s="168" t="s">
        <v>72</v>
      </c>
      <c r="I5" s="492"/>
    </row>
    <row r="6" spans="1:9" ht="55.5" customHeight="1" thickBot="1" x14ac:dyDescent="0.3">
      <c r="A6" s="169"/>
      <c r="B6" s="170"/>
      <c r="C6" s="170"/>
      <c r="D6" s="170"/>
      <c r="E6" s="170" t="s">
        <v>133</v>
      </c>
      <c r="F6" s="171" t="s">
        <v>132</v>
      </c>
      <c r="G6" s="172" t="s">
        <v>191</v>
      </c>
      <c r="H6" s="173" t="s">
        <v>210</v>
      </c>
      <c r="I6" s="471"/>
    </row>
    <row r="7" spans="1:9" ht="30" customHeight="1" thickBot="1" x14ac:dyDescent="0.3">
      <c r="A7" s="179" t="s">
        <v>8</v>
      </c>
      <c r="B7" s="180" t="s">
        <v>9</v>
      </c>
      <c r="C7" s="180" t="s">
        <v>10</v>
      </c>
      <c r="D7" s="185" t="s">
        <v>11</v>
      </c>
      <c r="E7" s="217">
        <v>0</v>
      </c>
      <c r="F7" s="220">
        <v>0</v>
      </c>
      <c r="G7" s="176">
        <v>-1</v>
      </c>
      <c r="H7" s="7">
        <v>1</v>
      </c>
      <c r="I7" s="223">
        <v>5</v>
      </c>
    </row>
    <row r="8" spans="1:9" ht="26.25" thickBot="1" x14ac:dyDescent="0.3">
      <c r="A8" s="181" t="s">
        <v>15</v>
      </c>
      <c r="B8" s="182" t="s">
        <v>12</v>
      </c>
      <c r="C8" s="182" t="s">
        <v>13</v>
      </c>
      <c r="D8" s="186" t="s">
        <v>14</v>
      </c>
      <c r="E8" s="218">
        <v>35850456.409999996</v>
      </c>
      <c r="F8" s="221">
        <v>29518698.050000001</v>
      </c>
      <c r="G8" s="176">
        <f>(F8-E8)/E8</f>
        <v>-0.1766158368414478</v>
      </c>
      <c r="H8" s="147">
        <v>0.35399999999999998</v>
      </c>
      <c r="I8" s="224">
        <f>H8*5</f>
        <v>1.77</v>
      </c>
    </row>
    <row r="9" spans="1:9" ht="26.25" thickBot="1" x14ac:dyDescent="0.3">
      <c r="A9" s="181" t="s">
        <v>16</v>
      </c>
      <c r="B9" s="182" t="s">
        <v>22</v>
      </c>
      <c r="C9" s="182" t="s">
        <v>23</v>
      </c>
      <c r="D9" s="186" t="s">
        <v>24</v>
      </c>
      <c r="E9" s="218">
        <v>0</v>
      </c>
      <c r="F9" s="221">
        <v>0</v>
      </c>
      <c r="G9" s="176">
        <v>-1</v>
      </c>
      <c r="H9" s="7">
        <v>1</v>
      </c>
      <c r="I9" s="224">
        <f t="shared" ref="I9:I17" si="0">H9*5</f>
        <v>5</v>
      </c>
    </row>
    <row r="10" spans="1:9" ht="29.45" customHeight="1" thickBot="1" x14ac:dyDescent="0.3">
      <c r="A10" s="181" t="s">
        <v>17</v>
      </c>
      <c r="B10" s="182" t="s">
        <v>25</v>
      </c>
      <c r="C10" s="182" t="s">
        <v>26</v>
      </c>
      <c r="D10" s="186" t="s">
        <v>27</v>
      </c>
      <c r="E10" s="218">
        <v>0</v>
      </c>
      <c r="F10" s="221">
        <v>0</v>
      </c>
      <c r="G10" s="176">
        <v>-1</v>
      </c>
      <c r="H10" s="7">
        <v>1</v>
      </c>
      <c r="I10" s="224">
        <f t="shared" si="0"/>
        <v>5</v>
      </c>
    </row>
    <row r="11" spans="1:9" ht="41.45" customHeight="1" thickBot="1" x14ac:dyDescent="0.3">
      <c r="A11" s="181" t="s">
        <v>18</v>
      </c>
      <c r="B11" s="182" t="s">
        <v>28</v>
      </c>
      <c r="C11" s="182" t="s">
        <v>29</v>
      </c>
      <c r="D11" s="186" t="s">
        <v>30</v>
      </c>
      <c r="E11" s="218">
        <v>0</v>
      </c>
      <c r="F11" s="221">
        <v>8192.75</v>
      </c>
      <c r="G11" s="176">
        <v>0</v>
      </c>
      <c r="H11" s="7">
        <v>0</v>
      </c>
      <c r="I11" s="224">
        <f t="shared" si="0"/>
        <v>0</v>
      </c>
    </row>
    <row r="12" spans="1:9" ht="38.25" customHeight="1" thickBot="1" x14ac:dyDescent="0.3">
      <c r="A12" s="181" t="s">
        <v>19</v>
      </c>
      <c r="B12" s="182" t="s">
        <v>31</v>
      </c>
      <c r="C12" s="182" t="s">
        <v>32</v>
      </c>
      <c r="D12" s="186" t="s">
        <v>33</v>
      </c>
      <c r="E12" s="218">
        <v>0</v>
      </c>
      <c r="F12" s="221">
        <v>0</v>
      </c>
      <c r="G12" s="176">
        <v>-1</v>
      </c>
      <c r="H12" s="7">
        <v>1</v>
      </c>
      <c r="I12" s="224">
        <f t="shared" si="0"/>
        <v>5</v>
      </c>
    </row>
    <row r="13" spans="1:9" ht="22.5" customHeight="1" thickBot="1" x14ac:dyDescent="0.3">
      <c r="A13" s="181" t="s">
        <v>20</v>
      </c>
      <c r="B13" s="182" t="s">
        <v>34</v>
      </c>
      <c r="C13" s="182" t="s">
        <v>35</v>
      </c>
      <c r="D13" s="186" t="s">
        <v>36</v>
      </c>
      <c r="E13" s="218">
        <v>1108.68</v>
      </c>
      <c r="F13" s="221">
        <v>137784.38</v>
      </c>
      <c r="G13" s="176">
        <f t="shared" ref="G13:G18" si="1">(F13-E13)/E13</f>
        <v>123.2778619619728</v>
      </c>
      <c r="H13" s="7">
        <v>0</v>
      </c>
      <c r="I13" s="224">
        <f t="shared" si="0"/>
        <v>0</v>
      </c>
    </row>
    <row r="14" spans="1:9" ht="25.5" customHeight="1" thickBot="1" x14ac:dyDescent="0.3">
      <c r="A14" s="181" t="s">
        <v>21</v>
      </c>
      <c r="B14" s="182" t="s">
        <v>40</v>
      </c>
      <c r="C14" s="182" t="s">
        <v>38</v>
      </c>
      <c r="D14" s="186" t="s">
        <v>39</v>
      </c>
      <c r="E14" s="218">
        <v>0</v>
      </c>
      <c r="F14" s="221">
        <v>0</v>
      </c>
      <c r="G14" s="176">
        <v>-1</v>
      </c>
      <c r="H14" s="7">
        <v>1</v>
      </c>
      <c r="I14" s="224">
        <f>H14*5</f>
        <v>5</v>
      </c>
    </row>
    <row r="15" spans="1:9" ht="16.5" thickBot="1" x14ac:dyDescent="0.3">
      <c r="A15" s="183">
        <v>9</v>
      </c>
      <c r="B15" s="182" t="s">
        <v>41</v>
      </c>
      <c r="C15" s="182" t="s">
        <v>42</v>
      </c>
      <c r="D15" s="186" t="s">
        <v>43</v>
      </c>
      <c r="E15" s="218">
        <v>483.7</v>
      </c>
      <c r="F15" s="221">
        <v>1180.73</v>
      </c>
      <c r="G15" s="176">
        <f t="shared" si="1"/>
        <v>1.44103783336779</v>
      </c>
      <c r="H15" s="7">
        <v>0</v>
      </c>
      <c r="I15" s="224">
        <f t="shared" si="0"/>
        <v>0</v>
      </c>
    </row>
    <row r="16" spans="1:9" ht="26.25" thickBot="1" x14ac:dyDescent="0.3">
      <c r="A16" s="183">
        <v>10</v>
      </c>
      <c r="B16" s="182" t="s">
        <v>44</v>
      </c>
      <c r="C16" s="182" t="s">
        <v>45</v>
      </c>
      <c r="D16" s="186" t="s">
        <v>46</v>
      </c>
      <c r="E16" s="218">
        <v>0</v>
      </c>
      <c r="F16" s="221">
        <v>806.53</v>
      </c>
      <c r="G16" s="176">
        <v>0</v>
      </c>
      <c r="H16" s="7">
        <v>0</v>
      </c>
      <c r="I16" s="224">
        <f t="shared" si="0"/>
        <v>0</v>
      </c>
    </row>
    <row r="17" spans="1:9" ht="28.5" customHeight="1" thickBot="1" x14ac:dyDescent="0.3">
      <c r="A17" s="183">
        <v>11</v>
      </c>
      <c r="B17" s="182" t="s">
        <v>47</v>
      </c>
      <c r="C17" s="182" t="s">
        <v>48</v>
      </c>
      <c r="D17" s="186" t="s">
        <v>49</v>
      </c>
      <c r="E17" s="218">
        <v>12002.32</v>
      </c>
      <c r="F17" s="221">
        <v>5090.53</v>
      </c>
      <c r="G17" s="176">
        <f t="shared" si="1"/>
        <v>-0.57587116490811774</v>
      </c>
      <c r="H17" s="7">
        <v>1</v>
      </c>
      <c r="I17" s="224">
        <f t="shared" si="0"/>
        <v>5</v>
      </c>
    </row>
    <row r="18" spans="1:9" ht="29.45" customHeight="1" thickBot="1" x14ac:dyDescent="0.3">
      <c r="A18" s="181" t="s">
        <v>37</v>
      </c>
      <c r="B18" s="182" t="s">
        <v>50</v>
      </c>
      <c r="C18" s="182" t="s">
        <v>51</v>
      </c>
      <c r="D18" s="186" t="s">
        <v>52</v>
      </c>
      <c r="E18" s="219">
        <v>199322.52</v>
      </c>
      <c r="F18" s="222">
        <v>214598.02</v>
      </c>
      <c r="G18" s="176">
        <f t="shared" si="1"/>
        <v>7.6637100514282089E-2</v>
      </c>
      <c r="H18" s="7">
        <v>0</v>
      </c>
      <c r="I18" s="224">
        <f>H18*5</f>
        <v>0</v>
      </c>
    </row>
    <row r="19" spans="1:9" ht="16.5" thickBot="1" x14ac:dyDescent="0.3">
      <c r="A19" s="33" t="s">
        <v>37</v>
      </c>
      <c r="B19" s="34"/>
      <c r="C19" s="34"/>
      <c r="D19" s="35" t="s">
        <v>58</v>
      </c>
      <c r="E19" s="329">
        <f>E7+E8+E9+E10+E11+E12+E13+E14+E15+E16+E17+E18</f>
        <v>36063373.630000003</v>
      </c>
      <c r="F19" s="329">
        <f t="shared" ref="F19" si="2">F7+F8+F9+F10+F11+F12+F13+F14+F15+F16+F17+F18</f>
        <v>29886350.990000002</v>
      </c>
      <c r="G19" s="330">
        <f>(G7+G8+G9+G10+G11+G12+G13+G14+G15+G16+G17+G18)/12</f>
        <v>9.9202541578421073</v>
      </c>
      <c r="H19" s="329">
        <f>(H7+H8+H9+H10+H11+H12+H13+H14+H15+H16+H17+H18)/12</f>
        <v>0.52949999999999997</v>
      </c>
      <c r="I19" s="329">
        <f>(I7+I8+I9+I10+I11+I12+I13+I14+I15+I16+I17+I18)/12</f>
        <v>2.6475</v>
      </c>
    </row>
    <row r="20" spans="1:9" ht="15.75" x14ac:dyDescent="0.25">
      <c r="A20" s="13"/>
      <c r="B20" s="13"/>
      <c r="C20" s="13"/>
      <c r="D20" s="13"/>
      <c r="E20" s="13"/>
      <c r="F20" s="15"/>
      <c r="G20" s="15"/>
      <c r="H20" s="15"/>
      <c r="I20" s="15"/>
    </row>
    <row r="21" spans="1:9" ht="15.75" x14ac:dyDescent="0.25">
      <c r="A21" s="13"/>
      <c r="B21" s="13"/>
      <c r="C21" s="13"/>
      <c r="D21" s="13"/>
      <c r="E21" s="37"/>
      <c r="F21" s="15"/>
      <c r="G21" s="15"/>
      <c r="H21" s="15"/>
      <c r="I21" s="15"/>
    </row>
    <row r="22" spans="1:9" ht="15.75" x14ac:dyDescent="0.25">
      <c r="A22" s="398" t="s">
        <v>134</v>
      </c>
      <c r="B22" s="398"/>
      <c r="C22" s="398"/>
      <c r="D22" s="398"/>
      <c r="E22" s="398"/>
      <c r="F22" s="398"/>
      <c r="G22" s="398"/>
      <c r="H22" s="398"/>
      <c r="I22" s="398"/>
    </row>
  </sheetData>
  <mergeCells count="5">
    <mergeCell ref="A2:I2"/>
    <mergeCell ref="E3:F3"/>
    <mergeCell ref="E4:F4"/>
    <mergeCell ref="I4:I6"/>
    <mergeCell ref="A22:I22"/>
  </mergeCells>
  <pageMargins left="0.7" right="0.7" top="0.75" bottom="0.75" header="0.3" footer="0.3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33"/>
  <sheetViews>
    <sheetView view="pageBreakPreview" zoomScale="76" zoomScaleNormal="100" zoomScaleSheetLayoutView="76" workbookViewId="0">
      <selection activeCell="O11" sqref="O11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18.85546875" style="15" customWidth="1"/>
    <col min="6" max="6" width="25.28515625" style="15" customWidth="1"/>
    <col min="7" max="7" width="16" style="15" customWidth="1"/>
    <col min="8" max="8" width="19.42578125" style="15" customWidth="1"/>
    <col min="9" max="9" width="12.5703125" style="15" customWidth="1"/>
    <col min="10" max="16384" width="9.140625" style="15"/>
  </cols>
  <sheetData>
    <row r="1" spans="1:173" ht="18.75" customHeight="1" x14ac:dyDescent="0.25">
      <c r="A1" s="463" t="s">
        <v>136</v>
      </c>
      <c r="B1" s="463"/>
      <c r="C1" s="463"/>
      <c r="D1" s="463"/>
      <c r="E1" s="463"/>
      <c r="F1" s="463"/>
      <c r="G1" s="463"/>
      <c r="H1" s="463"/>
      <c r="I1" s="463"/>
    </row>
    <row r="2" spans="1:173" ht="16.5" thickBot="1" x14ac:dyDescent="0.3">
      <c r="D2" s="225" t="s">
        <v>75</v>
      </c>
      <c r="E2" s="464" t="s">
        <v>206</v>
      </c>
      <c r="F2" s="464"/>
    </row>
    <row r="3" spans="1:173" ht="31.5" customHeight="1" thickBot="1" x14ac:dyDescent="0.3">
      <c r="A3" s="69" t="s">
        <v>0</v>
      </c>
      <c r="B3" s="49"/>
      <c r="C3" s="50" t="s">
        <v>1</v>
      </c>
      <c r="D3" s="110" t="s">
        <v>2</v>
      </c>
      <c r="E3" s="467"/>
      <c r="F3" s="444"/>
      <c r="G3" s="105"/>
      <c r="H3" s="445" t="s">
        <v>222</v>
      </c>
      <c r="I3" s="445" t="s">
        <v>57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</row>
    <row r="4" spans="1:173" ht="86.25" customHeight="1" thickBot="1" x14ac:dyDescent="0.3">
      <c r="A4" s="49"/>
      <c r="B4" s="70"/>
      <c r="C4" s="70"/>
      <c r="D4" s="111"/>
      <c r="E4" s="11" t="s">
        <v>192</v>
      </c>
      <c r="F4" s="71" t="s">
        <v>193</v>
      </c>
      <c r="G4" s="106" t="s">
        <v>79</v>
      </c>
      <c r="H4" s="468"/>
      <c r="I4" s="44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ht="36.75" customHeight="1" thickBot="1" x14ac:dyDescent="0.3">
      <c r="A5" s="81"/>
      <c r="B5" s="51"/>
      <c r="C5" s="51"/>
      <c r="D5" s="68"/>
      <c r="E5" s="51" t="s">
        <v>137</v>
      </c>
      <c r="F5" s="68" t="s">
        <v>138</v>
      </c>
      <c r="G5" s="107" t="s">
        <v>139</v>
      </c>
      <c r="H5" s="469"/>
      <c r="I5" s="44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</row>
    <row r="6" spans="1:173" ht="16.5" thickBot="1" x14ac:dyDescent="0.3">
      <c r="A6" s="82" t="s">
        <v>8</v>
      </c>
      <c r="B6" s="54" t="s">
        <v>9</v>
      </c>
      <c r="C6" s="55" t="s">
        <v>10</v>
      </c>
      <c r="D6" s="112" t="s">
        <v>11</v>
      </c>
      <c r="E6" s="8">
        <v>0</v>
      </c>
      <c r="F6" s="321">
        <v>0</v>
      </c>
      <c r="G6" s="322">
        <v>0</v>
      </c>
      <c r="H6" s="323">
        <f>IF(G6&gt;10,0,1-(G6/100))</f>
        <v>1</v>
      </c>
      <c r="I6" s="231">
        <v>5</v>
      </c>
    </row>
    <row r="7" spans="1:173" ht="18.75" customHeight="1" thickBot="1" x14ac:dyDescent="0.3">
      <c r="A7" s="56" t="s">
        <v>15</v>
      </c>
      <c r="B7" s="57" t="s">
        <v>12</v>
      </c>
      <c r="C7" s="58" t="s">
        <v>13</v>
      </c>
      <c r="D7" s="113" t="s">
        <v>14</v>
      </c>
      <c r="E7" s="8">
        <v>0</v>
      </c>
      <c r="F7" s="321">
        <v>0</v>
      </c>
      <c r="G7" s="322">
        <v>0</v>
      </c>
      <c r="H7" s="324">
        <v>1</v>
      </c>
      <c r="I7" s="231">
        <v>5</v>
      </c>
    </row>
    <row r="8" spans="1:173" ht="16.5" thickBot="1" x14ac:dyDescent="0.3">
      <c r="A8" s="56" t="s">
        <v>16</v>
      </c>
      <c r="B8" s="57" t="s">
        <v>22</v>
      </c>
      <c r="C8" s="58" t="s">
        <v>23</v>
      </c>
      <c r="D8" s="113" t="s">
        <v>24</v>
      </c>
      <c r="E8" s="8">
        <v>0</v>
      </c>
      <c r="F8" s="321">
        <v>0</v>
      </c>
      <c r="G8" s="322">
        <v>0</v>
      </c>
      <c r="H8" s="324">
        <f t="shared" ref="H8:H17" si="0">IF(G8&gt;10,0,1-(G8/100))</f>
        <v>1</v>
      </c>
      <c r="I8" s="109">
        <v>5</v>
      </c>
    </row>
    <row r="9" spans="1:173" ht="32.25" thickBot="1" x14ac:dyDescent="0.3">
      <c r="A9" s="56" t="s">
        <v>17</v>
      </c>
      <c r="B9" s="57" t="s">
        <v>25</v>
      </c>
      <c r="C9" s="58" t="s">
        <v>26</v>
      </c>
      <c r="D9" s="113" t="s">
        <v>27</v>
      </c>
      <c r="E9" s="8">
        <v>0</v>
      </c>
      <c r="F9" s="321">
        <v>0</v>
      </c>
      <c r="G9" s="322">
        <v>0</v>
      </c>
      <c r="H9" s="324">
        <f t="shared" si="0"/>
        <v>1</v>
      </c>
      <c r="I9" s="109">
        <v>5</v>
      </c>
    </row>
    <row r="10" spans="1:173" ht="32.25" thickBot="1" x14ac:dyDescent="0.3">
      <c r="A10" s="56" t="s">
        <v>18</v>
      </c>
      <c r="B10" s="57" t="s">
        <v>28</v>
      </c>
      <c r="C10" s="58" t="s">
        <v>29</v>
      </c>
      <c r="D10" s="113" t="s">
        <v>30</v>
      </c>
      <c r="E10" s="8">
        <v>0</v>
      </c>
      <c r="F10" s="321">
        <v>0</v>
      </c>
      <c r="G10" s="322">
        <v>0</v>
      </c>
      <c r="H10" s="324">
        <f t="shared" si="0"/>
        <v>1</v>
      </c>
      <c r="I10" s="109">
        <v>5</v>
      </c>
    </row>
    <row r="11" spans="1:173" ht="19.5" customHeight="1" thickBot="1" x14ac:dyDescent="0.3">
      <c r="A11" s="56" t="s">
        <v>19</v>
      </c>
      <c r="B11" s="57" t="s">
        <v>31</v>
      </c>
      <c r="C11" s="58" t="s">
        <v>32</v>
      </c>
      <c r="D11" s="113" t="s">
        <v>33</v>
      </c>
      <c r="E11" s="8">
        <v>0</v>
      </c>
      <c r="F11" s="321">
        <v>0</v>
      </c>
      <c r="G11" s="322">
        <v>0</v>
      </c>
      <c r="H11" s="324">
        <f t="shared" si="0"/>
        <v>1</v>
      </c>
      <c r="I11" s="109">
        <v>5</v>
      </c>
    </row>
    <row r="12" spans="1:173" ht="16.5" thickBot="1" x14ac:dyDescent="0.3">
      <c r="A12" s="56" t="s">
        <v>20</v>
      </c>
      <c r="B12" s="57" t="s">
        <v>34</v>
      </c>
      <c r="C12" s="58" t="s">
        <v>35</v>
      </c>
      <c r="D12" s="113" t="s">
        <v>36</v>
      </c>
      <c r="E12" s="8">
        <v>0</v>
      </c>
      <c r="F12" s="321">
        <v>0</v>
      </c>
      <c r="G12" s="322">
        <v>0</v>
      </c>
      <c r="H12" s="324">
        <f t="shared" si="0"/>
        <v>1</v>
      </c>
      <c r="I12" s="109">
        <v>5</v>
      </c>
    </row>
    <row r="13" spans="1:173" ht="16.5" thickBot="1" x14ac:dyDescent="0.3">
      <c r="A13" s="56" t="s">
        <v>21</v>
      </c>
      <c r="B13" s="57" t="s">
        <v>40</v>
      </c>
      <c r="C13" s="58" t="s">
        <v>38</v>
      </c>
      <c r="D13" s="113" t="s">
        <v>39</v>
      </c>
      <c r="E13" s="8">
        <v>0</v>
      </c>
      <c r="F13" s="321">
        <v>0</v>
      </c>
      <c r="G13" s="322">
        <v>0</v>
      </c>
      <c r="H13" s="324">
        <v>1</v>
      </c>
      <c r="I13" s="109">
        <v>5</v>
      </c>
    </row>
    <row r="14" spans="1:173" ht="16.5" thickBot="1" x14ac:dyDescent="0.3">
      <c r="A14" s="60">
        <v>9</v>
      </c>
      <c r="B14" s="57" t="s">
        <v>41</v>
      </c>
      <c r="C14" s="58" t="s">
        <v>42</v>
      </c>
      <c r="D14" s="113" t="s">
        <v>43</v>
      </c>
      <c r="E14" s="8">
        <v>0</v>
      </c>
      <c r="F14" s="321">
        <v>0</v>
      </c>
      <c r="G14" s="322">
        <v>0</v>
      </c>
      <c r="H14" s="324">
        <v>1</v>
      </c>
      <c r="I14" s="109">
        <v>5</v>
      </c>
    </row>
    <row r="15" spans="1:173" ht="16.5" thickBot="1" x14ac:dyDescent="0.3">
      <c r="A15" s="60">
        <v>10</v>
      </c>
      <c r="B15" s="57" t="s">
        <v>44</v>
      </c>
      <c r="C15" s="58" t="s">
        <v>45</v>
      </c>
      <c r="D15" s="113" t="s">
        <v>46</v>
      </c>
      <c r="E15" s="8">
        <v>0</v>
      </c>
      <c r="F15" s="321">
        <v>0</v>
      </c>
      <c r="G15" s="322">
        <v>0</v>
      </c>
      <c r="H15" s="324">
        <f t="shared" si="0"/>
        <v>1</v>
      </c>
      <c r="I15" s="109">
        <v>5</v>
      </c>
    </row>
    <row r="16" spans="1:173" ht="16.5" thickBot="1" x14ac:dyDescent="0.3">
      <c r="A16" s="60">
        <v>11</v>
      </c>
      <c r="B16" s="57" t="s">
        <v>47</v>
      </c>
      <c r="C16" s="58" t="s">
        <v>48</v>
      </c>
      <c r="D16" s="113" t="s">
        <v>49</v>
      </c>
      <c r="E16" s="8">
        <v>10</v>
      </c>
      <c r="F16" s="321">
        <v>4653.5</v>
      </c>
      <c r="G16" s="368">
        <v>2E-3</v>
      </c>
      <c r="H16" s="104">
        <v>0.96040000000000003</v>
      </c>
      <c r="I16" s="109">
        <f>H16*5</f>
        <v>4.8020000000000005</v>
      </c>
    </row>
    <row r="17" spans="1:9" ht="35.25" customHeight="1" x14ac:dyDescent="0.25">
      <c r="A17" s="56" t="s">
        <v>37</v>
      </c>
      <c r="B17" s="57" t="s">
        <v>50</v>
      </c>
      <c r="C17" s="58" t="s">
        <v>51</v>
      </c>
      <c r="D17" s="113" t="s">
        <v>52</v>
      </c>
      <c r="E17" s="8">
        <v>0</v>
      </c>
      <c r="F17" s="321">
        <v>0</v>
      </c>
      <c r="G17" s="322">
        <v>0</v>
      </c>
      <c r="H17" s="324">
        <f t="shared" si="0"/>
        <v>1</v>
      </c>
      <c r="I17" s="109">
        <v>5</v>
      </c>
    </row>
    <row r="18" spans="1:9" s="64" customFormat="1" ht="16.5" thickBot="1" x14ac:dyDescent="0.3">
      <c r="A18" s="61" t="s">
        <v>37</v>
      </c>
      <c r="B18" s="62"/>
      <c r="C18" s="63"/>
      <c r="D18" s="114" t="s">
        <v>58</v>
      </c>
      <c r="E18" s="18">
        <f>E6+E7+E8+E9+E10+E11+E12+E13+E14+E15+E16+E17</f>
        <v>10</v>
      </c>
      <c r="F18" s="19">
        <f>F6+F7+F8+F9+F10+F11+F12+F13+F14+F15+F16+F17</f>
        <v>4653.5</v>
      </c>
      <c r="G18" s="19">
        <f>G6+G7+G8+G9+G10+G11+G12+G13+G14+G15+G16+G17</f>
        <v>2E-3</v>
      </c>
      <c r="H18" s="19">
        <f>(H6+H7+H8+H9+H10+H11+H12+H13+H14+H15+H16+H17)/12</f>
        <v>0.99670000000000003</v>
      </c>
      <c r="I18" s="19">
        <f>(I6+I7+I8+I9+I10+I11+I12+I13+I14+I15+I16+I17)/12</f>
        <v>4.9835000000000003</v>
      </c>
    </row>
    <row r="19" spans="1:9" x14ac:dyDescent="0.25">
      <c r="H19" s="80"/>
    </row>
    <row r="20" spans="1:9" ht="15.6" x14ac:dyDescent="0.3">
      <c r="G20" s="134"/>
    </row>
    <row r="21" spans="1:9" x14ac:dyDescent="0.25">
      <c r="E21" s="65"/>
    </row>
    <row r="23" spans="1:9" x14ac:dyDescent="0.25">
      <c r="A23" s="398" t="s">
        <v>211</v>
      </c>
      <c r="B23" s="398"/>
      <c r="C23" s="398"/>
      <c r="D23" s="398"/>
      <c r="E23" s="398"/>
      <c r="F23" s="398"/>
    </row>
    <row r="24" spans="1:9" x14ac:dyDescent="0.25">
      <c r="A24" s="448">
        <v>45022</v>
      </c>
      <c r="B24" s="398"/>
      <c r="C24" s="449"/>
    </row>
    <row r="31" spans="1:9" x14ac:dyDescent="0.25">
      <c r="E31" s="66"/>
    </row>
    <row r="33" spans="1:4" x14ac:dyDescent="0.25">
      <c r="A33" s="67"/>
      <c r="B33" s="67"/>
      <c r="D33" s="48"/>
    </row>
  </sheetData>
  <mergeCells count="7">
    <mergeCell ref="A23:F23"/>
    <mergeCell ref="A24:C24"/>
    <mergeCell ref="A1:I1"/>
    <mergeCell ref="E2:F2"/>
    <mergeCell ref="E3:F3"/>
    <mergeCell ref="H3:H5"/>
    <mergeCell ref="I3:I5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30"/>
  <sheetViews>
    <sheetView view="pageBreakPreview" zoomScale="69" zoomScaleNormal="100" zoomScaleSheetLayoutView="69" workbookViewId="0">
      <selection activeCell="A21" sqref="A21:C21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18.85546875" style="15" customWidth="1"/>
    <col min="6" max="6" width="16" style="15" customWidth="1"/>
    <col min="7" max="7" width="19.42578125" style="15" customWidth="1"/>
    <col min="8" max="8" width="12.5703125" style="15" customWidth="1"/>
    <col min="9" max="16384" width="9.140625" style="15"/>
  </cols>
  <sheetData>
    <row r="1" spans="1:172" ht="18.75" customHeight="1" x14ac:dyDescent="0.25">
      <c r="A1" s="463" t="s">
        <v>140</v>
      </c>
      <c r="B1" s="463"/>
      <c r="C1" s="463"/>
      <c r="D1" s="463"/>
      <c r="E1" s="463"/>
      <c r="F1" s="463"/>
      <c r="G1" s="463"/>
      <c r="H1" s="463"/>
    </row>
    <row r="2" spans="1:172" ht="16.5" thickBot="1" x14ac:dyDescent="0.3">
      <c r="D2" s="225" t="s">
        <v>75</v>
      </c>
      <c r="E2" s="226" t="s">
        <v>206</v>
      </c>
    </row>
    <row r="3" spans="1:172" ht="31.5" customHeight="1" thickBot="1" x14ac:dyDescent="0.3">
      <c r="A3" s="69" t="s">
        <v>0</v>
      </c>
      <c r="B3" s="49"/>
      <c r="C3" s="50" t="s">
        <v>1</v>
      </c>
      <c r="D3" s="110" t="s">
        <v>2</v>
      </c>
      <c r="E3" s="227"/>
      <c r="F3" s="105"/>
      <c r="G3" s="445" t="s">
        <v>196</v>
      </c>
      <c r="H3" s="445" t="s">
        <v>57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</row>
    <row r="4" spans="1:172" ht="86.25" customHeight="1" thickBot="1" x14ac:dyDescent="0.3">
      <c r="A4" s="49"/>
      <c r="B4" s="70"/>
      <c r="C4" s="70"/>
      <c r="D4" s="111"/>
      <c r="E4" s="11" t="s">
        <v>141</v>
      </c>
      <c r="F4" s="106" t="s">
        <v>79</v>
      </c>
      <c r="G4" s="468"/>
      <c r="H4" s="4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172" ht="36.75" customHeight="1" thickBot="1" x14ac:dyDescent="0.3">
      <c r="A5" s="81"/>
      <c r="B5" s="51"/>
      <c r="C5" s="51"/>
      <c r="D5" s="68"/>
      <c r="E5" s="51" t="s">
        <v>142</v>
      </c>
      <c r="F5" s="107" t="s">
        <v>143</v>
      </c>
      <c r="G5" s="469"/>
      <c r="H5" s="44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</row>
    <row r="6" spans="1:172" ht="16.5" thickBot="1" x14ac:dyDescent="0.3">
      <c r="A6" s="82" t="s">
        <v>8</v>
      </c>
      <c r="B6" s="54" t="s">
        <v>9</v>
      </c>
      <c r="C6" s="55" t="s">
        <v>10</v>
      </c>
      <c r="D6" s="112" t="s">
        <v>11</v>
      </c>
      <c r="E6" s="8">
        <v>0</v>
      </c>
      <c r="F6" s="108">
        <f>E6</f>
        <v>0</v>
      </c>
      <c r="G6" s="2">
        <v>1</v>
      </c>
      <c r="H6" s="231">
        <v>5</v>
      </c>
    </row>
    <row r="7" spans="1:172" ht="33.75" customHeight="1" thickBot="1" x14ac:dyDescent="0.3">
      <c r="A7" s="56" t="s">
        <v>15</v>
      </c>
      <c r="B7" s="57" t="s">
        <v>12</v>
      </c>
      <c r="C7" s="58" t="s">
        <v>13</v>
      </c>
      <c r="D7" s="113" t="s">
        <v>14</v>
      </c>
      <c r="E7" s="8">
        <v>0</v>
      </c>
      <c r="F7" s="108">
        <f t="shared" ref="F7:F17" si="0">E7</f>
        <v>0</v>
      </c>
      <c r="G7" s="2">
        <v>1</v>
      </c>
      <c r="H7" s="109">
        <f>G7*5</f>
        <v>5</v>
      </c>
    </row>
    <row r="8" spans="1:172" ht="16.5" thickBot="1" x14ac:dyDescent="0.3">
      <c r="A8" s="56" t="s">
        <v>16</v>
      </c>
      <c r="B8" s="57" t="s">
        <v>22</v>
      </c>
      <c r="C8" s="58" t="s">
        <v>23</v>
      </c>
      <c r="D8" s="113" t="s">
        <v>24</v>
      </c>
      <c r="E8" s="8">
        <v>0</v>
      </c>
      <c r="F8" s="108">
        <f t="shared" si="0"/>
        <v>0</v>
      </c>
      <c r="G8" s="2">
        <v>1</v>
      </c>
      <c r="H8" s="109">
        <v>5</v>
      </c>
    </row>
    <row r="9" spans="1:172" ht="32.25" thickBot="1" x14ac:dyDescent="0.3">
      <c r="A9" s="56" t="s">
        <v>17</v>
      </c>
      <c r="B9" s="57" t="s">
        <v>25</v>
      </c>
      <c r="C9" s="58" t="s">
        <v>26</v>
      </c>
      <c r="D9" s="113" t="s">
        <v>27</v>
      </c>
      <c r="E9" s="8">
        <v>0</v>
      </c>
      <c r="F9" s="108">
        <f t="shared" si="0"/>
        <v>0</v>
      </c>
      <c r="G9" s="2">
        <v>1</v>
      </c>
      <c r="H9" s="109">
        <v>5</v>
      </c>
    </row>
    <row r="10" spans="1:172" ht="32.25" thickBot="1" x14ac:dyDescent="0.3">
      <c r="A10" s="56" t="s">
        <v>18</v>
      </c>
      <c r="B10" s="57" t="s">
        <v>28</v>
      </c>
      <c r="C10" s="58" t="s">
        <v>29</v>
      </c>
      <c r="D10" s="113" t="s">
        <v>30</v>
      </c>
      <c r="E10" s="8">
        <v>0</v>
      </c>
      <c r="F10" s="108">
        <f t="shared" si="0"/>
        <v>0</v>
      </c>
      <c r="G10" s="2">
        <v>1</v>
      </c>
      <c r="H10" s="109">
        <v>5</v>
      </c>
    </row>
    <row r="11" spans="1:172" ht="19.5" customHeight="1" thickBot="1" x14ac:dyDescent="0.3">
      <c r="A11" s="56" t="s">
        <v>19</v>
      </c>
      <c r="B11" s="57" t="s">
        <v>31</v>
      </c>
      <c r="C11" s="58" t="s">
        <v>32</v>
      </c>
      <c r="D11" s="113" t="s">
        <v>33</v>
      </c>
      <c r="E11" s="8">
        <v>0</v>
      </c>
      <c r="F11" s="108">
        <f t="shared" si="0"/>
        <v>0</v>
      </c>
      <c r="G11" s="2">
        <v>1</v>
      </c>
      <c r="H11" s="109">
        <v>5</v>
      </c>
    </row>
    <row r="12" spans="1:172" ht="16.5" thickBot="1" x14ac:dyDescent="0.3">
      <c r="A12" s="56" t="s">
        <v>20</v>
      </c>
      <c r="B12" s="57" t="s">
        <v>34</v>
      </c>
      <c r="C12" s="58" t="s">
        <v>35</v>
      </c>
      <c r="D12" s="113" t="s">
        <v>36</v>
      </c>
      <c r="E12" s="8">
        <v>0</v>
      </c>
      <c r="F12" s="108">
        <f t="shared" si="0"/>
        <v>0</v>
      </c>
      <c r="G12" s="2">
        <v>1</v>
      </c>
      <c r="H12" s="109">
        <v>5</v>
      </c>
    </row>
    <row r="13" spans="1:172" ht="16.5" thickBot="1" x14ac:dyDescent="0.3">
      <c r="A13" s="56" t="s">
        <v>21</v>
      </c>
      <c r="B13" s="57" t="s">
        <v>40</v>
      </c>
      <c r="C13" s="58" t="s">
        <v>38</v>
      </c>
      <c r="D13" s="113" t="s">
        <v>39</v>
      </c>
      <c r="E13" s="8">
        <v>0</v>
      </c>
      <c r="F13" s="108">
        <f t="shared" si="0"/>
        <v>0</v>
      </c>
      <c r="G13" s="2">
        <v>1</v>
      </c>
      <c r="H13" s="109">
        <v>5</v>
      </c>
    </row>
    <row r="14" spans="1:172" ht="16.5" thickBot="1" x14ac:dyDescent="0.3">
      <c r="A14" s="60">
        <v>9</v>
      </c>
      <c r="B14" s="57" t="s">
        <v>41</v>
      </c>
      <c r="C14" s="58" t="s">
        <v>42</v>
      </c>
      <c r="D14" s="113" t="s">
        <v>43</v>
      </c>
      <c r="E14" s="8">
        <v>0</v>
      </c>
      <c r="F14" s="108">
        <f t="shared" si="0"/>
        <v>0</v>
      </c>
      <c r="G14" s="2">
        <f t="shared" ref="G14:G17" si="1">IF(F14&lt;10,(1-(F14/10)),0)</f>
        <v>1</v>
      </c>
      <c r="H14" s="109">
        <v>5</v>
      </c>
    </row>
    <row r="15" spans="1:172" ht="16.5" thickBot="1" x14ac:dyDescent="0.3">
      <c r="A15" s="60">
        <v>10</v>
      </c>
      <c r="B15" s="57" t="s">
        <v>44</v>
      </c>
      <c r="C15" s="58" t="s">
        <v>45</v>
      </c>
      <c r="D15" s="113" t="s">
        <v>46</v>
      </c>
      <c r="E15" s="8">
        <v>0</v>
      </c>
      <c r="F15" s="108">
        <f t="shared" si="0"/>
        <v>0</v>
      </c>
      <c r="G15" s="2">
        <f t="shared" si="1"/>
        <v>1</v>
      </c>
      <c r="H15" s="109">
        <v>5</v>
      </c>
    </row>
    <row r="16" spans="1:172" ht="16.5" thickBot="1" x14ac:dyDescent="0.3">
      <c r="A16" s="60">
        <v>11</v>
      </c>
      <c r="B16" s="57" t="s">
        <v>47</v>
      </c>
      <c r="C16" s="58" t="s">
        <v>48</v>
      </c>
      <c r="D16" s="113" t="s">
        <v>49</v>
      </c>
      <c r="E16" s="8">
        <v>0</v>
      </c>
      <c r="F16" s="108">
        <f t="shared" si="0"/>
        <v>0</v>
      </c>
      <c r="G16" s="2">
        <f t="shared" si="1"/>
        <v>1</v>
      </c>
      <c r="H16" s="109">
        <v>5</v>
      </c>
    </row>
    <row r="17" spans="1:8" ht="35.25" customHeight="1" x14ac:dyDescent="0.25">
      <c r="A17" s="56" t="s">
        <v>37</v>
      </c>
      <c r="B17" s="57" t="s">
        <v>50</v>
      </c>
      <c r="C17" s="58" t="s">
        <v>51</v>
      </c>
      <c r="D17" s="113" t="s">
        <v>52</v>
      </c>
      <c r="E17" s="8">
        <v>0</v>
      </c>
      <c r="F17" s="108">
        <f t="shared" si="0"/>
        <v>0</v>
      </c>
      <c r="G17" s="2">
        <f t="shared" si="1"/>
        <v>1</v>
      </c>
      <c r="H17" s="109">
        <v>5</v>
      </c>
    </row>
    <row r="18" spans="1:8" s="64" customFormat="1" ht="16.5" thickBot="1" x14ac:dyDescent="0.3">
      <c r="A18" s="61" t="s">
        <v>37</v>
      </c>
      <c r="B18" s="62"/>
      <c r="C18" s="63"/>
      <c r="D18" s="114" t="s">
        <v>58</v>
      </c>
      <c r="E18" s="18">
        <f>E6+E7+E8+E9+E10+E11+E12+E13+E14+E15+E16+E17</f>
        <v>0</v>
      </c>
      <c r="F18" s="18">
        <f t="shared" ref="F18" si="2">F6+F7+F8+F9+F10+F11+F12+F13+F14+F15+F16+F17</f>
        <v>0</v>
      </c>
      <c r="G18" s="178">
        <f>(G6+G7+G8+G9+G10+G11+G12+G13+G14+G15+G16+G17)/12</f>
        <v>1</v>
      </c>
      <c r="H18" s="178">
        <f>(H6+H7+H8+H9+H10+H11+H12+H13+H14+H15+H16+H17)/12</f>
        <v>5</v>
      </c>
    </row>
    <row r="20" spans="1:8" x14ac:dyDescent="0.25">
      <c r="A20" s="398" t="s">
        <v>124</v>
      </c>
      <c r="B20" s="398"/>
      <c r="C20" s="398"/>
      <c r="D20" s="398"/>
      <c r="E20" s="398"/>
    </row>
    <row r="21" spans="1:8" ht="15.6" x14ac:dyDescent="0.3">
      <c r="A21" s="448"/>
      <c r="B21" s="398"/>
      <c r="C21" s="449"/>
    </row>
    <row r="28" spans="1:8" x14ac:dyDescent="0.25">
      <c r="E28" s="66"/>
    </row>
    <row r="30" spans="1:8" x14ac:dyDescent="0.25">
      <c r="A30" s="67"/>
      <c r="B30" s="67"/>
      <c r="D30" s="48"/>
    </row>
  </sheetData>
  <mergeCells count="5">
    <mergeCell ref="A21:C21"/>
    <mergeCell ref="A1:H1"/>
    <mergeCell ref="G3:G5"/>
    <mergeCell ref="H3:H5"/>
    <mergeCell ref="A20:E20"/>
  </mergeCells>
  <pageMargins left="0.7" right="0.7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view="pageBreakPreview" zoomScale="83" zoomScaleNormal="110" zoomScaleSheetLayoutView="83" workbookViewId="0">
      <selection activeCell="E3" sqref="E3:G3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62.42578125" style="22" customWidth="1"/>
    <col min="5" max="5" width="17.5703125" style="22" customWidth="1"/>
    <col min="6" max="6" width="23.140625" style="22" customWidth="1"/>
    <col min="7" max="7" width="14.7109375" style="15" customWidth="1"/>
    <col min="8" max="8" width="17.5703125" style="15" customWidth="1"/>
    <col min="9" max="9" width="12.140625" style="15" customWidth="1"/>
    <col min="10" max="16384" width="9.140625" style="22"/>
  </cols>
  <sheetData>
    <row r="1" spans="1:9" ht="35.25" customHeight="1" x14ac:dyDescent="0.25">
      <c r="A1" s="477" t="s">
        <v>85</v>
      </c>
      <c r="B1" s="478"/>
      <c r="C1" s="478"/>
      <c r="D1" s="478"/>
      <c r="E1" s="478"/>
      <c r="F1" s="478"/>
      <c r="G1" s="478"/>
      <c r="H1" s="478"/>
      <c r="I1" s="478"/>
    </row>
    <row r="2" spans="1:9" ht="16.5" thickBot="1" x14ac:dyDescent="0.3">
      <c r="D2" s="135" t="s">
        <v>75</v>
      </c>
      <c r="E2" s="36" t="s">
        <v>206</v>
      </c>
      <c r="F2" s="73"/>
    </row>
    <row r="3" spans="1:9" ht="51.75" customHeight="1" x14ac:dyDescent="0.25">
      <c r="A3" s="75" t="s">
        <v>0</v>
      </c>
      <c r="B3" s="76"/>
      <c r="C3" s="76" t="s">
        <v>1</v>
      </c>
      <c r="D3" s="76" t="s">
        <v>2</v>
      </c>
      <c r="E3" s="472" t="s">
        <v>66</v>
      </c>
      <c r="F3" s="493"/>
      <c r="G3" s="473"/>
      <c r="H3" s="77" t="s">
        <v>59</v>
      </c>
      <c r="I3" s="474" t="s">
        <v>57</v>
      </c>
    </row>
    <row r="4" spans="1:9" ht="50.25" customHeight="1" x14ac:dyDescent="0.25">
      <c r="A4" s="78"/>
      <c r="B4" s="74"/>
      <c r="C4" s="74"/>
      <c r="D4" s="74"/>
      <c r="E4" s="74" t="s">
        <v>67</v>
      </c>
      <c r="F4" s="74" t="s">
        <v>69</v>
      </c>
      <c r="G4" s="72" t="s">
        <v>79</v>
      </c>
      <c r="H4" s="72" t="s">
        <v>54</v>
      </c>
      <c r="I4" s="475"/>
    </row>
    <row r="5" spans="1:9" ht="51.75" customHeight="1" thickBot="1" x14ac:dyDescent="0.3">
      <c r="A5" s="154"/>
      <c r="B5" s="155"/>
      <c r="C5" s="155"/>
      <c r="D5" s="155"/>
      <c r="E5" s="155" t="s">
        <v>6</v>
      </c>
      <c r="F5" s="155" t="s">
        <v>68</v>
      </c>
      <c r="G5" s="156" t="s">
        <v>65</v>
      </c>
      <c r="H5" s="157" t="s">
        <v>135</v>
      </c>
      <c r="I5" s="476"/>
    </row>
    <row r="6" spans="1:9" x14ac:dyDescent="0.25">
      <c r="A6" s="148" t="s">
        <v>8</v>
      </c>
      <c r="B6" s="149" t="s">
        <v>9</v>
      </c>
      <c r="C6" s="149" t="s">
        <v>10</v>
      </c>
      <c r="D6" s="150" t="s">
        <v>11</v>
      </c>
      <c r="E6" s="316" t="s">
        <v>98</v>
      </c>
      <c r="F6" s="151" t="s">
        <v>98</v>
      </c>
      <c r="G6" s="152" t="s">
        <v>98</v>
      </c>
      <c r="H6" s="152" t="s">
        <v>70</v>
      </c>
      <c r="I6" s="153">
        <v>5</v>
      </c>
    </row>
    <row r="7" spans="1:9" x14ac:dyDescent="0.25">
      <c r="A7" s="29" t="s">
        <v>15</v>
      </c>
      <c r="B7" s="30" t="s">
        <v>12</v>
      </c>
      <c r="C7" s="30" t="s">
        <v>13</v>
      </c>
      <c r="D7" s="31" t="s">
        <v>14</v>
      </c>
      <c r="E7" s="317">
        <v>7</v>
      </c>
      <c r="F7" s="1">
        <v>7</v>
      </c>
      <c r="G7" s="79">
        <f>(F7/E7)*100</f>
        <v>100</v>
      </c>
      <c r="H7" s="147">
        <f>IF(G7&lt;99,0,1)</f>
        <v>1</v>
      </c>
      <c r="I7" s="9">
        <f>H7*5</f>
        <v>5</v>
      </c>
    </row>
    <row r="8" spans="1:9" x14ac:dyDescent="0.25">
      <c r="A8" s="29" t="s">
        <v>16</v>
      </c>
      <c r="B8" s="30" t="s">
        <v>22</v>
      </c>
      <c r="C8" s="30" t="s">
        <v>23</v>
      </c>
      <c r="D8" s="31" t="s">
        <v>24</v>
      </c>
      <c r="E8" s="317" t="s">
        <v>98</v>
      </c>
      <c r="F8" s="1" t="s">
        <v>98</v>
      </c>
      <c r="G8" s="79" t="s">
        <v>98</v>
      </c>
      <c r="H8" s="2" t="s">
        <v>70</v>
      </c>
      <c r="I8" s="9">
        <v>5</v>
      </c>
    </row>
    <row r="9" spans="1:9" ht="18.75" customHeight="1" x14ac:dyDescent="0.25">
      <c r="A9" s="29" t="s">
        <v>17</v>
      </c>
      <c r="B9" s="30" t="s">
        <v>25</v>
      </c>
      <c r="C9" s="30" t="s">
        <v>26</v>
      </c>
      <c r="D9" s="31" t="s">
        <v>27</v>
      </c>
      <c r="E9" s="317" t="s">
        <v>98</v>
      </c>
      <c r="F9" s="1" t="s">
        <v>98</v>
      </c>
      <c r="G9" s="79" t="s">
        <v>98</v>
      </c>
      <c r="H9" s="2" t="s">
        <v>70</v>
      </c>
      <c r="I9" s="9">
        <v>5</v>
      </c>
    </row>
    <row r="10" spans="1:9" ht="31.5" x14ac:dyDescent="0.25">
      <c r="A10" s="29" t="s">
        <v>18</v>
      </c>
      <c r="B10" s="30" t="s">
        <v>28</v>
      </c>
      <c r="C10" s="30" t="s">
        <v>29</v>
      </c>
      <c r="D10" s="31" t="s">
        <v>30</v>
      </c>
      <c r="E10" s="317" t="s">
        <v>98</v>
      </c>
      <c r="F10" s="1" t="s">
        <v>98</v>
      </c>
      <c r="G10" s="79" t="s">
        <v>98</v>
      </c>
      <c r="H10" s="2" t="s">
        <v>70</v>
      </c>
      <c r="I10" s="9">
        <v>5</v>
      </c>
    </row>
    <row r="11" spans="1:9" ht="18" customHeight="1" x14ac:dyDescent="0.25">
      <c r="A11" s="29" t="s">
        <v>19</v>
      </c>
      <c r="B11" s="30" t="s">
        <v>31</v>
      </c>
      <c r="C11" s="30" t="s">
        <v>32</v>
      </c>
      <c r="D11" s="31" t="s">
        <v>33</v>
      </c>
      <c r="E11" s="317" t="s">
        <v>98</v>
      </c>
      <c r="F11" s="1" t="s">
        <v>98</v>
      </c>
      <c r="G11" s="79" t="s">
        <v>98</v>
      </c>
      <c r="H11" s="2" t="s">
        <v>70</v>
      </c>
      <c r="I11" s="9">
        <v>5</v>
      </c>
    </row>
    <row r="12" spans="1:9" x14ac:dyDescent="0.25">
      <c r="A12" s="29" t="s">
        <v>20</v>
      </c>
      <c r="B12" s="30" t="s">
        <v>34</v>
      </c>
      <c r="C12" s="30" t="s">
        <v>35</v>
      </c>
      <c r="D12" s="31" t="s">
        <v>36</v>
      </c>
      <c r="E12" s="317">
        <v>1</v>
      </c>
      <c r="F12" s="1">
        <v>1</v>
      </c>
      <c r="G12" s="79">
        <f>(F12/E12)*100</f>
        <v>100</v>
      </c>
      <c r="H12" s="147">
        <f t="shared" ref="H12" si="0">IF(G12&lt;99,0,1)</f>
        <v>1</v>
      </c>
      <c r="I12" s="9">
        <f>H12*5</f>
        <v>5</v>
      </c>
    </row>
    <row r="13" spans="1:9" x14ac:dyDescent="0.25">
      <c r="A13" s="29" t="s">
        <v>21</v>
      </c>
      <c r="B13" s="30" t="s">
        <v>40</v>
      </c>
      <c r="C13" s="30" t="s">
        <v>38</v>
      </c>
      <c r="D13" s="31" t="s">
        <v>39</v>
      </c>
      <c r="E13" s="317">
        <v>94</v>
      </c>
      <c r="F13" s="1">
        <v>94</v>
      </c>
      <c r="G13" s="79">
        <f t="shared" ref="G13:G16" si="1">(F13/E13)*100</f>
        <v>100</v>
      </c>
      <c r="H13" s="147">
        <f>IF(G13&lt;99,0,1)</f>
        <v>1</v>
      </c>
      <c r="I13" s="9">
        <f>H13*5</f>
        <v>5</v>
      </c>
    </row>
    <row r="14" spans="1:9" x14ac:dyDescent="0.25">
      <c r="A14" s="32">
        <v>9</v>
      </c>
      <c r="B14" s="30" t="s">
        <v>41</v>
      </c>
      <c r="C14" s="30" t="s">
        <v>42</v>
      </c>
      <c r="D14" s="31" t="s">
        <v>43</v>
      </c>
      <c r="E14" s="317">
        <v>7</v>
      </c>
      <c r="F14" s="1">
        <v>7</v>
      </c>
      <c r="G14" s="79">
        <f t="shared" si="1"/>
        <v>100</v>
      </c>
      <c r="H14" s="147">
        <f>IF(G14&lt;99,0,1)</f>
        <v>1</v>
      </c>
      <c r="I14" s="9">
        <f t="shared" ref="I14:I16" si="2">H14*5</f>
        <v>5</v>
      </c>
    </row>
    <row r="15" spans="1:9" x14ac:dyDescent="0.25">
      <c r="A15" s="32">
        <v>10</v>
      </c>
      <c r="B15" s="30" t="s">
        <v>44</v>
      </c>
      <c r="C15" s="30" t="s">
        <v>45</v>
      </c>
      <c r="D15" s="31" t="s">
        <v>46</v>
      </c>
      <c r="E15" s="317">
        <v>2</v>
      </c>
      <c r="F15" s="1">
        <v>2</v>
      </c>
      <c r="G15" s="79">
        <f t="shared" si="1"/>
        <v>100</v>
      </c>
      <c r="H15" s="147">
        <f>IF(G15&lt;99,0,1)</f>
        <v>1</v>
      </c>
      <c r="I15" s="9">
        <f t="shared" si="2"/>
        <v>5</v>
      </c>
    </row>
    <row r="16" spans="1:9" x14ac:dyDescent="0.25">
      <c r="A16" s="32">
        <v>11</v>
      </c>
      <c r="B16" s="30" t="s">
        <v>47</v>
      </c>
      <c r="C16" s="30" t="s">
        <v>48</v>
      </c>
      <c r="D16" s="31" t="s">
        <v>49</v>
      </c>
      <c r="E16" s="317">
        <v>2</v>
      </c>
      <c r="F16" s="1">
        <v>2</v>
      </c>
      <c r="G16" s="79">
        <f t="shared" si="1"/>
        <v>100</v>
      </c>
      <c r="H16" s="147">
        <f>IF(G16&lt;99,0,1)</f>
        <v>1</v>
      </c>
      <c r="I16" s="9">
        <f t="shared" si="2"/>
        <v>5</v>
      </c>
    </row>
    <row r="17" spans="1:9" ht="18" customHeight="1" x14ac:dyDescent="0.25">
      <c r="A17" s="29" t="s">
        <v>37</v>
      </c>
      <c r="B17" s="30" t="s">
        <v>50</v>
      </c>
      <c r="C17" s="30" t="s">
        <v>51</v>
      </c>
      <c r="D17" s="31" t="s">
        <v>52</v>
      </c>
      <c r="E17" s="317" t="s">
        <v>98</v>
      </c>
      <c r="F17" s="1" t="s">
        <v>98</v>
      </c>
      <c r="G17" s="79" t="s">
        <v>98</v>
      </c>
      <c r="H17" s="2" t="s">
        <v>70</v>
      </c>
      <c r="I17" s="9">
        <v>5</v>
      </c>
    </row>
    <row r="18" spans="1:9" s="36" customFormat="1" ht="16.5" thickBot="1" x14ac:dyDescent="0.3">
      <c r="A18" s="33"/>
      <c r="B18" s="34"/>
      <c r="C18" s="34"/>
      <c r="D18" s="35" t="s">
        <v>58</v>
      </c>
      <c r="E18" s="229">
        <f>E7+E12+E13+E14+E15+E16</f>
        <v>113</v>
      </c>
      <c r="F18" s="228">
        <f>F7+F12+F13+F14+F15+F16</f>
        <v>113</v>
      </c>
      <c r="G18" s="19">
        <f>SUM(G6:G17)</f>
        <v>600</v>
      </c>
      <c r="H18" s="20"/>
      <c r="I18" s="21">
        <f>SUM(I6:I17)/12</f>
        <v>5</v>
      </c>
    </row>
    <row r="19" spans="1:9" ht="31.9" customHeight="1" x14ac:dyDescent="0.25">
      <c r="A19" s="13"/>
      <c r="B19" s="494" t="s">
        <v>184</v>
      </c>
      <c r="C19" s="494"/>
      <c r="D19" s="494"/>
      <c r="E19" s="494"/>
      <c r="F19" s="494"/>
      <c r="G19" s="494"/>
      <c r="H19" s="494"/>
      <c r="I19" s="494"/>
    </row>
    <row r="20" spans="1:9" x14ac:dyDescent="0.25">
      <c r="A20" s="13"/>
      <c r="B20" s="13"/>
      <c r="C20" s="13"/>
      <c r="D20" s="13"/>
      <c r="E20" s="13"/>
      <c r="F20" s="14"/>
      <c r="G20" s="16"/>
    </row>
    <row r="21" spans="1:9" x14ac:dyDescent="0.25">
      <c r="A21" s="13"/>
      <c r="B21" s="13"/>
      <c r="C21" s="13"/>
      <c r="D21" s="13"/>
      <c r="E21" s="13"/>
      <c r="F21" s="37"/>
    </row>
    <row r="22" spans="1:9" s="15" customFormat="1" x14ac:dyDescent="0.25">
      <c r="A22" s="398" t="s">
        <v>89</v>
      </c>
      <c r="B22" s="398"/>
      <c r="C22" s="398"/>
      <c r="D22" s="398"/>
      <c r="E22" s="398"/>
      <c r="F22" s="398"/>
      <c r="G22" s="398"/>
      <c r="H22" s="398"/>
      <c r="I22" s="398"/>
    </row>
    <row r="23" spans="1:9" s="15" customFormat="1" x14ac:dyDescent="0.25">
      <c r="A23" s="389">
        <v>44287</v>
      </c>
      <c r="B23" s="390"/>
      <c r="C23" s="391"/>
    </row>
  </sheetData>
  <mergeCells count="6">
    <mergeCell ref="E3:G3"/>
    <mergeCell ref="I3:I5"/>
    <mergeCell ref="A1:I1"/>
    <mergeCell ref="A22:I22"/>
    <mergeCell ref="A23:C23"/>
    <mergeCell ref="B19:I19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30"/>
  <sheetViews>
    <sheetView view="pageBreakPreview" zoomScale="60" zoomScaleNormal="100" workbookViewId="0">
      <selection activeCell="A21" sqref="A21:C21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26.7109375" style="15" customWidth="1"/>
    <col min="6" max="6" width="12" style="15" customWidth="1"/>
    <col min="7" max="7" width="19.42578125" style="15" customWidth="1"/>
    <col min="8" max="8" width="12.5703125" style="15" customWidth="1"/>
    <col min="9" max="16384" width="9.140625" style="15"/>
  </cols>
  <sheetData>
    <row r="1" spans="1:172" ht="18.75" customHeight="1" x14ac:dyDescent="0.25">
      <c r="A1" s="463" t="s">
        <v>187</v>
      </c>
      <c r="B1" s="463"/>
      <c r="C1" s="463"/>
      <c r="D1" s="463"/>
      <c r="E1" s="463"/>
      <c r="F1" s="463"/>
      <c r="G1" s="463"/>
      <c r="H1" s="463"/>
    </row>
    <row r="2" spans="1:172" ht="16.5" thickBot="1" x14ac:dyDescent="0.3">
      <c r="D2" s="253" t="s">
        <v>75</v>
      </c>
      <c r="E2" s="254" t="s">
        <v>206</v>
      </c>
    </row>
    <row r="3" spans="1:172" ht="31.5" customHeight="1" thickBot="1" x14ac:dyDescent="0.3">
      <c r="A3" s="69" t="s">
        <v>0</v>
      </c>
      <c r="B3" s="49"/>
      <c r="C3" s="50" t="s">
        <v>1</v>
      </c>
      <c r="D3" s="110" t="s">
        <v>2</v>
      </c>
      <c r="E3" s="255"/>
      <c r="F3" s="105"/>
      <c r="G3" s="445" t="s">
        <v>190</v>
      </c>
      <c r="H3" s="445" t="s">
        <v>57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</row>
    <row r="4" spans="1:172" ht="165" customHeight="1" thickBot="1" x14ac:dyDescent="0.3">
      <c r="A4" s="49"/>
      <c r="B4" s="70"/>
      <c r="C4" s="70"/>
      <c r="D4" s="111"/>
      <c r="E4" s="11" t="s">
        <v>188</v>
      </c>
      <c r="F4" s="106" t="s">
        <v>79</v>
      </c>
      <c r="G4" s="468"/>
      <c r="H4" s="4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172" ht="36.75" customHeight="1" thickBot="1" x14ac:dyDescent="0.3">
      <c r="A5" s="81"/>
      <c r="B5" s="51"/>
      <c r="C5" s="51"/>
      <c r="D5" s="68"/>
      <c r="E5" s="51" t="s">
        <v>189</v>
      </c>
      <c r="F5" s="107" t="s">
        <v>143</v>
      </c>
      <c r="G5" s="469"/>
      <c r="H5" s="44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</row>
    <row r="6" spans="1:172" ht="16.5" thickBot="1" x14ac:dyDescent="0.3">
      <c r="A6" s="82" t="s">
        <v>8</v>
      </c>
      <c r="B6" s="54" t="s">
        <v>9</v>
      </c>
      <c r="C6" s="55" t="s">
        <v>10</v>
      </c>
      <c r="D6" s="112" t="s">
        <v>11</v>
      </c>
      <c r="E6" s="8">
        <v>0</v>
      </c>
      <c r="F6" s="108">
        <f>E6</f>
        <v>0</v>
      </c>
      <c r="G6" s="103">
        <f>IF(F6&gt;10,0,1-(F6/100))</f>
        <v>1</v>
      </c>
      <c r="H6" s="231">
        <v>5</v>
      </c>
    </row>
    <row r="7" spans="1:172" ht="18.75" customHeight="1" thickBot="1" x14ac:dyDescent="0.3">
      <c r="A7" s="56" t="s">
        <v>15</v>
      </c>
      <c r="B7" s="57" t="s">
        <v>12</v>
      </c>
      <c r="C7" s="58" t="s">
        <v>13</v>
      </c>
      <c r="D7" s="113" t="s">
        <v>14</v>
      </c>
      <c r="E7" s="8">
        <v>0</v>
      </c>
      <c r="F7" s="108">
        <f t="shared" ref="F7:F18" si="0">E7</f>
        <v>0</v>
      </c>
      <c r="G7" s="104">
        <f>IF(F7&gt;10,0,1-(F7/100))</f>
        <v>1</v>
      </c>
      <c r="H7" s="109">
        <f>G7*5</f>
        <v>5</v>
      </c>
    </row>
    <row r="8" spans="1:172" ht="16.5" thickBot="1" x14ac:dyDescent="0.3">
      <c r="A8" s="56" t="s">
        <v>16</v>
      </c>
      <c r="B8" s="57" t="s">
        <v>22</v>
      </c>
      <c r="C8" s="58" t="s">
        <v>23</v>
      </c>
      <c r="D8" s="113" t="s">
        <v>24</v>
      </c>
      <c r="E8" s="8">
        <v>0</v>
      </c>
      <c r="F8" s="108">
        <f t="shared" si="0"/>
        <v>0</v>
      </c>
      <c r="G8" s="104">
        <f t="shared" ref="G8:G17" si="1">IF(F8&gt;10,0,1-(F8/100))</f>
        <v>1</v>
      </c>
      <c r="H8" s="109">
        <v>5</v>
      </c>
    </row>
    <row r="9" spans="1:172" ht="32.25" thickBot="1" x14ac:dyDescent="0.3">
      <c r="A9" s="56" t="s">
        <v>17</v>
      </c>
      <c r="B9" s="57" t="s">
        <v>25</v>
      </c>
      <c r="C9" s="58" t="s">
        <v>26</v>
      </c>
      <c r="D9" s="113" t="s">
        <v>27</v>
      </c>
      <c r="E9" s="8">
        <v>0</v>
      </c>
      <c r="F9" s="108">
        <f t="shared" si="0"/>
        <v>0</v>
      </c>
      <c r="G9" s="104">
        <f t="shared" si="1"/>
        <v>1</v>
      </c>
      <c r="H9" s="109">
        <v>5</v>
      </c>
    </row>
    <row r="10" spans="1:172" ht="32.25" thickBot="1" x14ac:dyDescent="0.3">
      <c r="A10" s="56" t="s">
        <v>18</v>
      </c>
      <c r="B10" s="57" t="s">
        <v>28</v>
      </c>
      <c r="C10" s="58" t="s">
        <v>29</v>
      </c>
      <c r="D10" s="113" t="s">
        <v>30</v>
      </c>
      <c r="E10" s="8">
        <v>0</v>
      </c>
      <c r="F10" s="108">
        <f t="shared" si="0"/>
        <v>0</v>
      </c>
      <c r="G10" s="104">
        <f t="shared" si="1"/>
        <v>1</v>
      </c>
      <c r="H10" s="109">
        <v>5</v>
      </c>
    </row>
    <row r="11" spans="1:172" ht="19.5" customHeight="1" thickBot="1" x14ac:dyDescent="0.3">
      <c r="A11" s="56" t="s">
        <v>19</v>
      </c>
      <c r="B11" s="57" t="s">
        <v>31</v>
      </c>
      <c r="C11" s="58" t="s">
        <v>32</v>
      </c>
      <c r="D11" s="113" t="s">
        <v>33</v>
      </c>
      <c r="E11" s="8">
        <v>0</v>
      </c>
      <c r="F11" s="108">
        <f t="shared" si="0"/>
        <v>0</v>
      </c>
      <c r="G11" s="104">
        <f t="shared" si="1"/>
        <v>1</v>
      </c>
      <c r="H11" s="109">
        <v>5</v>
      </c>
    </row>
    <row r="12" spans="1:172" ht="16.5" thickBot="1" x14ac:dyDescent="0.3">
      <c r="A12" s="56" t="s">
        <v>20</v>
      </c>
      <c r="B12" s="57" t="s">
        <v>34</v>
      </c>
      <c r="C12" s="58" t="s">
        <v>35</v>
      </c>
      <c r="D12" s="113" t="s">
        <v>36</v>
      </c>
      <c r="E12" s="8">
        <v>0</v>
      </c>
      <c r="F12" s="108">
        <f t="shared" si="0"/>
        <v>0</v>
      </c>
      <c r="G12" s="104">
        <f t="shared" si="1"/>
        <v>1</v>
      </c>
      <c r="H12" s="109">
        <v>5</v>
      </c>
    </row>
    <row r="13" spans="1:172" ht="16.5" thickBot="1" x14ac:dyDescent="0.3">
      <c r="A13" s="56" t="s">
        <v>21</v>
      </c>
      <c r="B13" s="57" t="s">
        <v>40</v>
      </c>
      <c r="C13" s="58" t="s">
        <v>38</v>
      </c>
      <c r="D13" s="113" t="s">
        <v>39</v>
      </c>
      <c r="E13" s="8">
        <v>0</v>
      </c>
      <c r="F13" s="108">
        <f t="shared" si="0"/>
        <v>0</v>
      </c>
      <c r="G13" s="104">
        <f t="shared" si="1"/>
        <v>1</v>
      </c>
      <c r="H13" s="109">
        <v>5</v>
      </c>
    </row>
    <row r="14" spans="1:172" ht="16.5" thickBot="1" x14ac:dyDescent="0.3">
      <c r="A14" s="60">
        <v>9</v>
      </c>
      <c r="B14" s="57" t="s">
        <v>41</v>
      </c>
      <c r="C14" s="58" t="s">
        <v>42</v>
      </c>
      <c r="D14" s="113" t="s">
        <v>43</v>
      </c>
      <c r="E14" s="8">
        <v>0</v>
      </c>
      <c r="F14" s="108">
        <f t="shared" si="0"/>
        <v>0</v>
      </c>
      <c r="G14" s="104">
        <f t="shared" si="1"/>
        <v>1</v>
      </c>
      <c r="H14" s="109">
        <v>5</v>
      </c>
    </row>
    <row r="15" spans="1:172" ht="16.5" thickBot="1" x14ac:dyDescent="0.3">
      <c r="A15" s="60">
        <v>10</v>
      </c>
      <c r="B15" s="57" t="s">
        <v>44</v>
      </c>
      <c r="C15" s="58" t="s">
        <v>45</v>
      </c>
      <c r="D15" s="113" t="s">
        <v>46</v>
      </c>
      <c r="E15" s="8">
        <v>0</v>
      </c>
      <c r="F15" s="108">
        <f t="shared" si="0"/>
        <v>0</v>
      </c>
      <c r="G15" s="104">
        <f t="shared" si="1"/>
        <v>1</v>
      </c>
      <c r="H15" s="109">
        <v>5</v>
      </c>
    </row>
    <row r="16" spans="1:172" ht="16.5" thickBot="1" x14ac:dyDescent="0.3">
      <c r="A16" s="60">
        <v>11</v>
      </c>
      <c r="B16" s="57" t="s">
        <v>47</v>
      </c>
      <c r="C16" s="58" t="s">
        <v>48</v>
      </c>
      <c r="D16" s="113" t="s">
        <v>49</v>
      </c>
      <c r="E16" s="8">
        <v>0</v>
      </c>
      <c r="F16" s="108">
        <f t="shared" si="0"/>
        <v>0</v>
      </c>
      <c r="G16" s="104">
        <f t="shared" si="1"/>
        <v>1</v>
      </c>
      <c r="H16" s="109">
        <v>5</v>
      </c>
    </row>
    <row r="17" spans="1:8" ht="35.25" customHeight="1" thickBot="1" x14ac:dyDescent="0.3">
      <c r="A17" s="56" t="s">
        <v>37</v>
      </c>
      <c r="B17" s="57" t="s">
        <v>50</v>
      </c>
      <c r="C17" s="58" t="s">
        <v>51</v>
      </c>
      <c r="D17" s="113" t="s">
        <v>52</v>
      </c>
      <c r="E17" s="8">
        <v>0</v>
      </c>
      <c r="F17" s="108">
        <f t="shared" si="0"/>
        <v>0</v>
      </c>
      <c r="G17" s="104">
        <f t="shared" si="1"/>
        <v>1</v>
      </c>
      <c r="H17" s="109">
        <v>5</v>
      </c>
    </row>
    <row r="18" spans="1:8" s="64" customFormat="1" ht="16.5" thickBot="1" x14ac:dyDescent="0.3">
      <c r="A18" s="61" t="s">
        <v>37</v>
      </c>
      <c r="B18" s="62"/>
      <c r="C18" s="63"/>
      <c r="D18" s="114" t="s">
        <v>58</v>
      </c>
      <c r="E18" s="18">
        <f>E6+E7+E8+E9+E10+E11+E12+E13+E14+E15+E16+E17</f>
        <v>0</v>
      </c>
      <c r="F18" s="108">
        <f t="shared" si="0"/>
        <v>0</v>
      </c>
      <c r="G18" s="232">
        <v>1</v>
      </c>
      <c r="H18" s="233">
        <v>5</v>
      </c>
    </row>
    <row r="19" spans="1:8" ht="15.6" x14ac:dyDescent="0.3">
      <c r="G19" s="80"/>
    </row>
    <row r="20" spans="1:8" x14ac:dyDescent="0.25">
      <c r="A20" s="398" t="s">
        <v>124</v>
      </c>
      <c r="B20" s="398"/>
      <c r="C20" s="398"/>
      <c r="D20" s="398"/>
      <c r="E20" s="398"/>
    </row>
    <row r="21" spans="1:8" ht="15.6" x14ac:dyDescent="0.3">
      <c r="A21" s="448"/>
      <c r="B21" s="398"/>
      <c r="C21" s="449"/>
    </row>
    <row r="28" spans="1:8" x14ac:dyDescent="0.25">
      <c r="E28" s="66"/>
    </row>
    <row r="30" spans="1:8" x14ac:dyDescent="0.25">
      <c r="A30" s="67"/>
      <c r="B30" s="67"/>
      <c r="D30" s="48"/>
    </row>
  </sheetData>
  <mergeCells count="5">
    <mergeCell ref="A1:H1"/>
    <mergeCell ref="G3:G5"/>
    <mergeCell ref="H3:H5"/>
    <mergeCell ref="A20:E20"/>
    <mergeCell ref="A21:C21"/>
  </mergeCells>
  <pageMargins left="0.7" right="0.7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tabSelected="1" view="pageBreakPreview" zoomScale="87" zoomScaleNormal="110" zoomScaleSheetLayoutView="87" workbookViewId="0">
      <selection activeCell="AB3" sqref="AB3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35.42578125" style="22" customWidth="1"/>
    <col min="5" max="5" width="5.28515625" style="22" customWidth="1"/>
    <col min="6" max="6" width="5" style="22" customWidth="1"/>
    <col min="7" max="7" width="5.28515625" style="15" customWidth="1"/>
    <col min="8" max="8" width="5.5703125" style="15" customWidth="1"/>
    <col min="9" max="9" width="5.7109375" style="15" customWidth="1"/>
    <col min="10" max="10" width="5.28515625" style="15" customWidth="1"/>
    <col min="11" max="11" width="6" style="15" customWidth="1"/>
    <col min="12" max="12" width="6.7109375" style="15" customWidth="1"/>
    <col min="13" max="14" width="6.140625" style="15" customWidth="1"/>
    <col min="15" max="15" width="5.140625" style="15" customWidth="1"/>
    <col min="16" max="16" width="5.5703125" style="15" customWidth="1"/>
    <col min="17" max="17" width="6.5703125" style="15" customWidth="1"/>
    <col min="18" max="18" width="5" style="15" customWidth="1"/>
    <col min="19" max="19" width="4.85546875" style="15" customWidth="1"/>
    <col min="20" max="20" width="6.140625" style="15" customWidth="1"/>
    <col min="21" max="21" width="4.5703125" style="15" customWidth="1"/>
    <col min="22" max="22" width="17.5703125" style="15" customWidth="1"/>
    <col min="23" max="23" width="12.140625" style="15" customWidth="1"/>
    <col min="24" max="24" width="6.28515625" style="22" customWidth="1"/>
    <col min="25" max="25" width="6.7109375" style="22" customWidth="1"/>
    <col min="26" max="26" width="6.85546875" style="22" customWidth="1"/>
    <col min="27" max="27" width="6.28515625" style="22" customWidth="1"/>
    <col min="28" max="28" width="7.28515625" style="22" customWidth="1"/>
    <col min="29" max="29" width="6.5703125" style="22" customWidth="1"/>
    <col min="30" max="31" width="6" style="22" customWidth="1"/>
    <col min="32" max="32" width="7.28515625" style="22" customWidth="1"/>
    <col min="33" max="33" width="6.28515625" style="22" customWidth="1"/>
    <col min="34" max="34" width="6.140625" style="22" customWidth="1"/>
    <col min="35" max="35" width="6.28515625" style="22" customWidth="1"/>
    <col min="36" max="36" width="6.7109375" style="22" customWidth="1"/>
    <col min="37" max="37" width="6.5703125" style="22" customWidth="1"/>
    <col min="38" max="38" width="5.42578125" style="22" customWidth="1"/>
    <col min="39" max="39" width="7.140625" style="22" customWidth="1"/>
    <col min="40" max="40" width="6.140625" style="22" customWidth="1"/>
    <col min="41" max="43" width="9.140625" style="22"/>
    <col min="44" max="44" width="10.140625" style="22" bestFit="1" customWidth="1"/>
    <col min="45" max="16384" width="9.140625" style="22"/>
  </cols>
  <sheetData>
    <row r="1" spans="1:48" ht="25.15" customHeight="1" x14ac:dyDescent="0.25">
      <c r="A1" s="477" t="s">
        <v>195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</row>
    <row r="2" spans="1:48" ht="22.15" customHeight="1" thickBot="1" x14ac:dyDescent="0.3">
      <c r="A2" s="512" t="s">
        <v>221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</row>
    <row r="3" spans="1:48" ht="51.75" customHeight="1" thickBot="1" x14ac:dyDescent="0.3">
      <c r="A3" s="499" t="s">
        <v>0</v>
      </c>
      <c r="B3" s="501" t="s">
        <v>107</v>
      </c>
      <c r="C3" s="501" t="s">
        <v>1</v>
      </c>
      <c r="D3" s="503" t="s">
        <v>163</v>
      </c>
      <c r="E3" s="505" t="s">
        <v>165</v>
      </c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95" t="s">
        <v>164</v>
      </c>
      <c r="W3" s="495" t="s">
        <v>183</v>
      </c>
    </row>
    <row r="4" spans="1:48" ht="25.9" customHeight="1" thickBot="1" x14ac:dyDescent="0.3">
      <c r="A4" s="500"/>
      <c r="B4" s="502"/>
      <c r="C4" s="502"/>
      <c r="D4" s="504"/>
      <c r="E4" s="292" t="s">
        <v>166</v>
      </c>
      <c r="F4" s="293" t="s">
        <v>167</v>
      </c>
      <c r="G4" s="293" t="s">
        <v>168</v>
      </c>
      <c r="H4" s="293" t="s">
        <v>169</v>
      </c>
      <c r="I4" s="293" t="s">
        <v>170</v>
      </c>
      <c r="J4" s="293" t="s">
        <v>171</v>
      </c>
      <c r="K4" s="293" t="s">
        <v>172</v>
      </c>
      <c r="L4" s="293" t="s">
        <v>173</v>
      </c>
      <c r="M4" s="293" t="s">
        <v>174</v>
      </c>
      <c r="N4" s="293" t="s">
        <v>175</v>
      </c>
      <c r="O4" s="293" t="s">
        <v>176</v>
      </c>
      <c r="P4" s="293" t="s">
        <v>177</v>
      </c>
      <c r="Q4" s="293" t="s">
        <v>178</v>
      </c>
      <c r="R4" s="293" t="s">
        <v>179</v>
      </c>
      <c r="S4" s="308" t="s">
        <v>180</v>
      </c>
      <c r="T4" s="293" t="s">
        <v>181</v>
      </c>
      <c r="U4" s="294" t="s">
        <v>182</v>
      </c>
      <c r="V4" s="496"/>
      <c r="W4" s="497"/>
      <c r="X4" s="258" t="s">
        <v>166</v>
      </c>
      <c r="Y4" s="258" t="s">
        <v>167</v>
      </c>
      <c r="Z4" s="258" t="s">
        <v>168</v>
      </c>
      <c r="AA4" s="258" t="s">
        <v>169</v>
      </c>
      <c r="AB4" s="258" t="s">
        <v>170</v>
      </c>
      <c r="AC4" s="258" t="s">
        <v>171</v>
      </c>
      <c r="AD4" s="258" t="s">
        <v>172</v>
      </c>
      <c r="AE4" s="258" t="s">
        <v>173</v>
      </c>
      <c r="AF4" s="258" t="s">
        <v>174</v>
      </c>
      <c r="AG4" s="258" t="s">
        <v>175</v>
      </c>
      <c r="AH4" s="258" t="s">
        <v>176</v>
      </c>
      <c r="AI4" s="258" t="s">
        <v>177</v>
      </c>
      <c r="AJ4" s="258" t="s">
        <v>178</v>
      </c>
      <c r="AK4" s="258" t="s">
        <v>179</v>
      </c>
      <c r="AL4" s="258" t="s">
        <v>180</v>
      </c>
      <c r="AM4" s="258" t="s">
        <v>181</v>
      </c>
      <c r="AN4" s="258" t="s">
        <v>182</v>
      </c>
      <c r="AO4" s="22">
        <v>1</v>
      </c>
      <c r="AQ4" s="22">
        <v>2</v>
      </c>
      <c r="AS4" s="22">
        <v>3</v>
      </c>
      <c r="AU4" s="22">
        <v>4</v>
      </c>
      <c r="AV4" s="22">
        <v>5</v>
      </c>
    </row>
    <row r="5" spans="1:48" ht="32.450000000000003" customHeight="1" x14ac:dyDescent="0.25">
      <c r="A5" s="149" t="s">
        <v>8</v>
      </c>
      <c r="B5" s="149" t="s">
        <v>9</v>
      </c>
      <c r="C5" s="149" t="s">
        <v>10</v>
      </c>
      <c r="D5" s="150" t="s">
        <v>11</v>
      </c>
      <c r="E5" s="235">
        <f>'1.1 Кач. планирования расходов'!I7</f>
        <v>10</v>
      </c>
      <c r="F5" s="239">
        <f>'1.2. Качество исполнения КП'!AQ7</f>
        <v>4.132000114422639</v>
      </c>
      <c r="G5" s="240">
        <f>'1.3. Доля неиспользованых БА'!I7</f>
        <v>10</v>
      </c>
      <c r="H5" s="240">
        <f>'1.4 Своевременность принятия БО'!I6</f>
        <v>5</v>
      </c>
      <c r="I5" s="240">
        <f>'1.5 Несоотв. расч-плат док'!I6</f>
        <v>5</v>
      </c>
      <c r="J5" s="240">
        <f>'1.6 Доля отклоненных ПГЗ'!I6</f>
        <v>5</v>
      </c>
      <c r="K5" s="240">
        <f>'1.7. Эффективность исп. МТ '!I5</f>
        <v>5</v>
      </c>
      <c r="L5" s="240">
        <f>'1.8. Эффект.управл. КЗ'!L6</f>
        <v>5</v>
      </c>
      <c r="M5" s="240">
        <f>'1.9. Налчие просроч.КЗ'!G6</f>
        <v>10</v>
      </c>
      <c r="N5" s="240">
        <f>'1.10 Приостановление операций'!H6</f>
        <v>5</v>
      </c>
      <c r="O5" s="240">
        <f>'2.1. Кач-во пл.пост.налог+ненал'!I5</f>
        <v>5</v>
      </c>
      <c r="P5" s="240">
        <f>'2.2. Качество администр. ост.'!I7</f>
        <v>5</v>
      </c>
      <c r="Q5" s="240">
        <f>'2.3 Кач-во управ. просроч.ДЗ'!I7</f>
        <v>5</v>
      </c>
      <c r="R5" s="240">
        <f>'3.1 Степень достовер.отчет'!I6</f>
        <v>5</v>
      </c>
      <c r="S5" s="240">
        <f>'3.2 Нарушение треб. к бюдж.уч.'!H6</f>
        <v>5</v>
      </c>
      <c r="T5" s="240">
        <f>'4 Наличие на сайте ГМУ'!I6</f>
        <v>5</v>
      </c>
      <c r="U5" s="240">
        <f>'5 Управление активами'!H6</f>
        <v>5</v>
      </c>
      <c r="V5" s="152">
        <f>SUM(E5:U5)</f>
        <v>99.132000114422638</v>
      </c>
      <c r="W5" s="325">
        <v>2</v>
      </c>
      <c r="X5" s="282">
        <f>10-E5</f>
        <v>0</v>
      </c>
      <c r="Y5" s="282">
        <f>5-F5</f>
        <v>0.86799988557736096</v>
      </c>
      <c r="Z5" s="282">
        <f>10-G5</f>
        <v>0</v>
      </c>
      <c r="AA5" s="282">
        <f t="shared" ref="AA5:AE5" si="0">5-H5</f>
        <v>0</v>
      </c>
      <c r="AB5" s="282">
        <f t="shared" si="0"/>
        <v>0</v>
      </c>
      <c r="AC5" s="282">
        <f t="shared" si="0"/>
        <v>0</v>
      </c>
      <c r="AD5" s="282">
        <f t="shared" si="0"/>
        <v>0</v>
      </c>
      <c r="AE5" s="282">
        <f t="shared" si="0"/>
        <v>0</v>
      </c>
      <c r="AF5" s="282">
        <f>10-M5</f>
        <v>0</v>
      </c>
      <c r="AG5" s="282">
        <f t="shared" ref="AG5:AN5" si="1">5-N5</f>
        <v>0</v>
      </c>
      <c r="AH5" s="282">
        <f t="shared" si="1"/>
        <v>0</v>
      </c>
      <c r="AI5" s="282">
        <f t="shared" si="1"/>
        <v>0</v>
      </c>
      <c r="AJ5" s="282">
        <f t="shared" si="1"/>
        <v>0</v>
      </c>
      <c r="AK5" s="282">
        <f t="shared" si="1"/>
        <v>0</v>
      </c>
      <c r="AL5" s="282">
        <f t="shared" si="1"/>
        <v>0</v>
      </c>
      <c r="AM5" s="282">
        <f t="shared" si="1"/>
        <v>0</v>
      </c>
      <c r="AN5" s="282">
        <f t="shared" si="1"/>
        <v>0</v>
      </c>
      <c r="AO5" s="364">
        <f>SUM(X5:AG5)</f>
        <v>0.86799988557736096</v>
      </c>
      <c r="AP5" s="310">
        <f>AO5/65*100</f>
        <v>1.335384439349786</v>
      </c>
      <c r="AQ5" s="310">
        <f>SUM(AH5:AJ5)</f>
        <v>0</v>
      </c>
      <c r="AR5" s="22">
        <f>AQ5/15*100</f>
        <v>0</v>
      </c>
      <c r="AS5" s="310">
        <f>AK5+AL5</f>
        <v>0</v>
      </c>
      <c r="AT5" s="22">
        <f>AS5/10*100</f>
        <v>0</v>
      </c>
      <c r="AU5" s="22">
        <f>AM5/5*100</f>
        <v>0</v>
      </c>
      <c r="AV5" s="22">
        <f>AN5/5*100</f>
        <v>0</v>
      </c>
    </row>
    <row r="6" spans="1:48" ht="31.5" x14ac:dyDescent="0.25">
      <c r="A6" s="29" t="s">
        <v>15</v>
      </c>
      <c r="B6" s="30" t="s">
        <v>12</v>
      </c>
      <c r="C6" s="30" t="s">
        <v>13</v>
      </c>
      <c r="D6" s="31" t="s">
        <v>14</v>
      </c>
      <c r="E6" s="197">
        <f>'1.1 Кач. планирования расходов'!I8</f>
        <v>9.7646491278979468</v>
      </c>
      <c r="F6" s="238">
        <f>'1.2. Качество исполнения КП'!AQ8</f>
        <v>3.8384792888861763</v>
      </c>
      <c r="G6" s="187">
        <f>'1.3. Доля неиспользованых БА'!I8</f>
        <v>6.9344758420357566</v>
      </c>
      <c r="H6" s="187">
        <f>'1.4 Своевременность принятия БО'!I7</f>
        <v>5</v>
      </c>
      <c r="I6" s="187">
        <f>'1.5 Несоотв. расч-плат док'!I7</f>
        <v>4.9427282193682744</v>
      </c>
      <c r="J6" s="240">
        <f>'1.6 Доля отклоненных ПГЗ'!I7</f>
        <v>0</v>
      </c>
      <c r="K6" s="240">
        <f>'1.7. Эффективность исп. МТ '!I6</f>
        <v>0</v>
      </c>
      <c r="L6" s="240">
        <f>'1.8. Эффект.управл. КЗ'!L7</f>
        <v>4.9575246565829607</v>
      </c>
      <c r="M6" s="240">
        <f>'1.9. Налчие просроч.КЗ'!G7</f>
        <v>10</v>
      </c>
      <c r="N6" s="240">
        <f>'1.10 Приостановление операций'!H7</f>
        <v>5</v>
      </c>
      <c r="O6" s="240">
        <f>'2.1. Кач-во пл.пост.налог+ненал'!I6</f>
        <v>5</v>
      </c>
      <c r="P6" s="240">
        <f>'2.2. Качество администр. ост.'!I8</f>
        <v>5</v>
      </c>
      <c r="Q6" s="240">
        <f>'2.3 Кач-во управ. просроч.ДЗ'!I8</f>
        <v>1.77</v>
      </c>
      <c r="R6" s="240">
        <f>'3.1 Степень достовер.отчет'!I7</f>
        <v>5</v>
      </c>
      <c r="S6" s="240">
        <f>'3.2 Нарушение треб. к бюдж.уч.'!H7</f>
        <v>5</v>
      </c>
      <c r="T6" s="240">
        <f>'4 Наличие на сайте ГМУ'!I7</f>
        <v>5</v>
      </c>
      <c r="U6" s="240">
        <f>'5 Управление активами'!H7</f>
        <v>5</v>
      </c>
      <c r="V6" s="152">
        <f>SUM(E6:U6)</f>
        <v>82.207857134771118</v>
      </c>
      <c r="W6" s="326">
        <v>11</v>
      </c>
      <c r="X6" s="282">
        <f>10-E6</f>
        <v>0.23535087210205319</v>
      </c>
      <c r="Y6" s="282">
        <f t="shared" ref="Y6:Y16" si="2">5-F6</f>
        <v>1.1615207111138237</v>
      </c>
      <c r="Z6" s="282">
        <f t="shared" ref="Z6:Z16" si="3">10-G6</f>
        <v>3.0655241579642434</v>
      </c>
      <c r="AA6" s="282">
        <f t="shared" ref="AA6:AA16" si="4">5-H6</f>
        <v>0</v>
      </c>
      <c r="AB6" s="282">
        <f t="shared" ref="AB6:AB16" si="5">5-I6</f>
        <v>5.7271780631725555E-2</v>
      </c>
      <c r="AC6" s="282">
        <f t="shared" ref="AC6:AC16" si="6">5-J6</f>
        <v>5</v>
      </c>
      <c r="AD6" s="282">
        <f t="shared" ref="AD6:AD16" si="7">5-K6</f>
        <v>5</v>
      </c>
      <c r="AE6" s="282">
        <f t="shared" ref="AE6:AE16" si="8">5-L6</f>
        <v>4.2475343417039291E-2</v>
      </c>
      <c r="AF6" s="282">
        <f t="shared" ref="AF6:AF16" si="9">10-M6</f>
        <v>0</v>
      </c>
      <c r="AG6" s="282">
        <f t="shared" ref="AG6:AG16" si="10">5-N6</f>
        <v>0</v>
      </c>
      <c r="AH6" s="282">
        <f t="shared" ref="AH6:AH16" si="11">5-O6</f>
        <v>0</v>
      </c>
      <c r="AI6" s="282">
        <f t="shared" ref="AI6:AI16" si="12">5-P6</f>
        <v>0</v>
      </c>
      <c r="AJ6" s="282">
        <f t="shared" ref="AJ6:AJ16" si="13">5-Q6</f>
        <v>3.23</v>
      </c>
      <c r="AK6" s="282">
        <f t="shared" ref="AK6:AK16" si="14">5-R6</f>
        <v>0</v>
      </c>
      <c r="AL6" s="282">
        <f t="shared" ref="AL6:AL16" si="15">5-S6</f>
        <v>0</v>
      </c>
      <c r="AM6" s="282">
        <f t="shared" ref="AM6:AM16" si="16">5-T6</f>
        <v>0</v>
      </c>
      <c r="AN6" s="282">
        <f t="shared" ref="AN6:AN16" si="17">5-U6</f>
        <v>0</v>
      </c>
      <c r="AO6" s="364">
        <f t="shared" ref="AO6:AO16" si="18">SUM(X6:AG6)</f>
        <v>14.562142865228886</v>
      </c>
      <c r="AP6" s="513">
        <f t="shared" ref="AP6:AP16" si="19">AO6/65*100</f>
        <v>22.403296715736747</v>
      </c>
      <c r="AQ6" s="364">
        <f t="shared" ref="AQ6:AQ16" si="20">SUM(AH6:AJ6)</f>
        <v>3.23</v>
      </c>
      <c r="AR6" s="364">
        <f>AQ6/15*100</f>
        <v>21.533333333333331</v>
      </c>
      <c r="AS6" s="310">
        <f t="shared" ref="AS6:AS16" si="21">AK6+AL6</f>
        <v>0</v>
      </c>
      <c r="AT6" s="366">
        <f t="shared" ref="AT6:AT16" si="22">AS6/10*100</f>
        <v>0</v>
      </c>
      <c r="AU6" s="22">
        <f t="shared" ref="AU6:AU16" si="23">AM6/5*100</f>
        <v>0</v>
      </c>
      <c r="AV6" s="22">
        <f t="shared" ref="AV6:AV16" si="24">AN6/5*100</f>
        <v>0</v>
      </c>
    </row>
    <row r="7" spans="1:48" s="257" customFormat="1" ht="31.5" x14ac:dyDescent="0.25">
      <c r="A7" s="57" t="s">
        <v>16</v>
      </c>
      <c r="B7" s="58" t="s">
        <v>22</v>
      </c>
      <c r="C7" s="58" t="s">
        <v>23</v>
      </c>
      <c r="D7" s="59" t="s">
        <v>24</v>
      </c>
      <c r="E7" s="369">
        <f>'1.1 Кач. планирования расходов'!I9</f>
        <v>9.8657022703189661</v>
      </c>
      <c r="F7" s="187">
        <f>'1.2. Качество исполнения КП'!AQ9</f>
        <v>4.3943151712142017</v>
      </c>
      <c r="G7" s="187">
        <f>'1.3. Доля неиспользованых БА'!I9</f>
        <v>10</v>
      </c>
      <c r="H7" s="187">
        <f>'1.4 Своевременность принятия БО'!I8</f>
        <v>5</v>
      </c>
      <c r="I7" s="187">
        <f>'1.5 Несоотв. расч-плат док'!I8</f>
        <v>4.9613402061855671</v>
      </c>
      <c r="J7" s="240">
        <f>'1.6 Доля отклоненных ПГЗ'!I8</f>
        <v>0</v>
      </c>
      <c r="K7" s="240">
        <f>'1.7. Эффективность исп. МТ '!I7</f>
        <v>5</v>
      </c>
      <c r="L7" s="240">
        <f>'1.8. Эффект.управл. КЗ'!L8</f>
        <v>5</v>
      </c>
      <c r="M7" s="240">
        <f>'1.9. Налчие просроч.КЗ'!G8</f>
        <v>10</v>
      </c>
      <c r="N7" s="240">
        <f>'1.10 Приостановление операций'!H8</f>
        <v>5</v>
      </c>
      <c r="O7" s="240">
        <f>'2.1. Кач-во пл.пост.налог+ненал'!I7</f>
        <v>5</v>
      </c>
      <c r="P7" s="240">
        <f>'2.2. Качество администр. ост.'!I9</f>
        <v>5</v>
      </c>
      <c r="Q7" s="240">
        <f>'2.3 Кач-во управ. просроч.ДЗ'!I9</f>
        <v>5</v>
      </c>
      <c r="R7" s="240">
        <f>'3.1 Степень достовер.отчет'!I8</f>
        <v>5</v>
      </c>
      <c r="S7" s="240">
        <f>'3.2 Нарушение треб. к бюдж.уч.'!H8</f>
        <v>5</v>
      </c>
      <c r="T7" s="240">
        <f>'4 Наличие на сайте ГМУ'!I8</f>
        <v>5</v>
      </c>
      <c r="U7" s="240">
        <f>'5 Управление активами'!H8</f>
        <v>5</v>
      </c>
      <c r="V7" s="152">
        <f t="shared" ref="V7:V16" si="25">SUM(E7:U7)</f>
        <v>94.221357647718733</v>
      </c>
      <c r="W7" s="326">
        <v>6</v>
      </c>
      <c r="X7" s="283">
        <f t="shared" ref="X7:X16" si="26">10-E7</f>
        <v>0.13429772968103393</v>
      </c>
      <c r="Y7" s="283">
        <f t="shared" si="2"/>
        <v>0.60568482878579832</v>
      </c>
      <c r="Z7" s="282">
        <f t="shared" si="3"/>
        <v>0</v>
      </c>
      <c r="AA7" s="283">
        <f t="shared" si="4"/>
        <v>0</v>
      </c>
      <c r="AB7" s="283">
        <f t="shared" si="5"/>
        <v>3.8659793814432852E-2</v>
      </c>
      <c r="AC7" s="283">
        <f t="shared" si="6"/>
        <v>5</v>
      </c>
      <c r="AD7" s="283">
        <f t="shared" si="7"/>
        <v>0</v>
      </c>
      <c r="AE7" s="283">
        <f t="shared" si="8"/>
        <v>0</v>
      </c>
      <c r="AF7" s="283">
        <f t="shared" si="9"/>
        <v>0</v>
      </c>
      <c r="AG7" s="283">
        <f t="shared" si="10"/>
        <v>0</v>
      </c>
      <c r="AH7" s="283">
        <f t="shared" si="11"/>
        <v>0</v>
      </c>
      <c r="AI7" s="283">
        <f t="shared" si="12"/>
        <v>0</v>
      </c>
      <c r="AJ7" s="283">
        <f t="shared" si="13"/>
        <v>0</v>
      </c>
      <c r="AK7" s="283">
        <f t="shared" si="14"/>
        <v>0</v>
      </c>
      <c r="AL7" s="283">
        <f t="shared" si="15"/>
        <v>0</v>
      </c>
      <c r="AM7" s="283">
        <f t="shared" si="16"/>
        <v>0</v>
      </c>
      <c r="AN7" s="283">
        <f t="shared" si="17"/>
        <v>0</v>
      </c>
      <c r="AO7" s="364">
        <f t="shared" si="18"/>
        <v>5.7786423522812651</v>
      </c>
      <c r="AP7" s="310">
        <f t="shared" si="19"/>
        <v>8.8902190035096389</v>
      </c>
      <c r="AQ7" s="364">
        <f t="shared" si="20"/>
        <v>0</v>
      </c>
      <c r="AR7" s="366">
        <f t="shared" ref="AR7:AR15" si="27">AQ7/15*100</f>
        <v>0</v>
      </c>
      <c r="AS7" s="310">
        <f t="shared" si="21"/>
        <v>0</v>
      </c>
      <c r="AT7" s="22">
        <f t="shared" si="22"/>
        <v>0</v>
      </c>
      <c r="AU7" s="22">
        <f t="shared" si="23"/>
        <v>0</v>
      </c>
      <c r="AV7" s="22">
        <f t="shared" si="24"/>
        <v>0</v>
      </c>
    </row>
    <row r="8" spans="1:48" ht="33.6" customHeight="1" x14ac:dyDescent="0.25">
      <c r="A8" s="379" t="s">
        <v>17</v>
      </c>
      <c r="B8" s="380" t="s">
        <v>25</v>
      </c>
      <c r="C8" s="380" t="s">
        <v>26</v>
      </c>
      <c r="D8" s="381" t="s">
        <v>27</v>
      </c>
      <c r="E8" s="382">
        <f>'1.1 Кач. планирования расходов'!I10</f>
        <v>9.9945768933942389</v>
      </c>
      <c r="F8" s="383">
        <f>'1.2. Качество исполнения КП'!AQ10</f>
        <v>4.2127779450593037</v>
      </c>
      <c r="G8" s="383">
        <f>'1.3. Доля неиспользованых БА'!I10</f>
        <v>10</v>
      </c>
      <c r="H8" s="383">
        <f>'1.4 Своевременность принятия БО'!I9</f>
        <v>5</v>
      </c>
      <c r="I8" s="383">
        <f>'1.5 Несоотв. расч-плат док'!I9</f>
        <v>4.9671052631578947</v>
      </c>
      <c r="J8" s="384">
        <f>'1.6 Доля отклоненных ПГЗ'!I9</f>
        <v>5</v>
      </c>
      <c r="K8" s="384">
        <f>'1.7. Эффективность исп. МТ '!I8</f>
        <v>5</v>
      </c>
      <c r="L8" s="384">
        <f>'1.8. Эффект.управл. КЗ'!L9</f>
        <v>5</v>
      </c>
      <c r="M8" s="384">
        <f>'1.9. Налчие просроч.КЗ'!G9</f>
        <v>10</v>
      </c>
      <c r="N8" s="384">
        <f>'1.10 Приостановление операций'!H9</f>
        <v>5</v>
      </c>
      <c r="O8" s="384">
        <f>'2.1. Кач-во пл.пост.налог+ненал'!I8</f>
        <v>5</v>
      </c>
      <c r="P8" s="384">
        <f>'2.2. Качество администр. ост.'!I10</f>
        <v>5</v>
      </c>
      <c r="Q8" s="384">
        <f>'2.3 Кач-во управ. просроч.ДЗ'!I10</f>
        <v>5</v>
      </c>
      <c r="R8" s="384">
        <f>'3.1 Степень достовер.отчет'!I9</f>
        <v>5</v>
      </c>
      <c r="S8" s="384">
        <f>'3.2 Нарушение треб. к бюдж.уч.'!H9</f>
        <v>5</v>
      </c>
      <c r="T8" s="384">
        <f>'4 Наличие на сайте ГМУ'!I9</f>
        <v>5</v>
      </c>
      <c r="U8" s="384">
        <f>'5 Управление активами'!H9</f>
        <v>5</v>
      </c>
      <c r="V8" s="385">
        <f>SUM(E8:U8)</f>
        <v>99.17446010161143</v>
      </c>
      <c r="W8" s="386">
        <v>1</v>
      </c>
      <c r="X8" s="282">
        <f t="shared" si="26"/>
        <v>5.4231066057610633E-3</v>
      </c>
      <c r="Y8" s="282">
        <f t="shared" si="2"/>
        <v>0.7872220549406963</v>
      </c>
      <c r="Z8" s="282">
        <f t="shared" si="3"/>
        <v>0</v>
      </c>
      <c r="AA8" s="282">
        <f t="shared" si="4"/>
        <v>0</v>
      </c>
      <c r="AB8" s="282">
        <f t="shared" si="5"/>
        <v>3.289473684210531E-2</v>
      </c>
      <c r="AC8" s="282">
        <f t="shared" si="6"/>
        <v>0</v>
      </c>
      <c r="AD8" s="282">
        <f t="shared" si="7"/>
        <v>0</v>
      </c>
      <c r="AE8" s="282">
        <f t="shared" si="8"/>
        <v>0</v>
      </c>
      <c r="AF8" s="282">
        <f t="shared" si="9"/>
        <v>0</v>
      </c>
      <c r="AG8" s="282">
        <f t="shared" si="10"/>
        <v>0</v>
      </c>
      <c r="AH8" s="282">
        <f t="shared" si="11"/>
        <v>0</v>
      </c>
      <c r="AI8" s="282">
        <f t="shared" si="12"/>
        <v>0</v>
      </c>
      <c r="AJ8" s="282">
        <f t="shared" si="13"/>
        <v>0</v>
      </c>
      <c r="AK8" s="282">
        <f t="shared" si="14"/>
        <v>0</v>
      </c>
      <c r="AL8" s="282">
        <f t="shared" si="15"/>
        <v>0</v>
      </c>
      <c r="AM8" s="282">
        <f t="shared" si="16"/>
        <v>0</v>
      </c>
      <c r="AN8" s="282">
        <f t="shared" si="17"/>
        <v>0</v>
      </c>
      <c r="AO8" s="364">
        <f t="shared" si="18"/>
        <v>0.82553989838856268</v>
      </c>
      <c r="AP8" s="310">
        <f t="shared" si="19"/>
        <v>1.2700613821362503</v>
      </c>
      <c r="AQ8" s="364">
        <f t="shared" si="20"/>
        <v>0</v>
      </c>
      <c r="AR8" s="365">
        <f t="shared" si="27"/>
        <v>0</v>
      </c>
      <c r="AS8" s="310">
        <f t="shared" si="21"/>
        <v>0</v>
      </c>
      <c r="AT8" s="22">
        <f t="shared" si="22"/>
        <v>0</v>
      </c>
      <c r="AU8" s="22">
        <f t="shared" si="23"/>
        <v>0</v>
      </c>
      <c r="AV8" s="22">
        <f t="shared" si="24"/>
        <v>0</v>
      </c>
    </row>
    <row r="9" spans="1:48" ht="62.25" customHeight="1" x14ac:dyDescent="0.25">
      <c r="A9" s="29" t="s">
        <v>18</v>
      </c>
      <c r="B9" s="30" t="s">
        <v>28</v>
      </c>
      <c r="C9" s="30" t="s">
        <v>29</v>
      </c>
      <c r="D9" s="31" t="s">
        <v>30</v>
      </c>
      <c r="E9" s="197">
        <f>'1.1 Кач. планирования расходов'!I11</f>
        <v>9.9932257752339879</v>
      </c>
      <c r="F9" s="238">
        <f>'1.2. Качество исполнения КП'!AQ11</f>
        <v>4.0443463812323959</v>
      </c>
      <c r="G9" s="187">
        <f>'1.3. Доля неиспользованых БА'!I11</f>
        <v>10</v>
      </c>
      <c r="H9" s="187">
        <f>'1.4 Своевременность принятия БО'!I10</f>
        <v>5</v>
      </c>
      <c r="I9" s="187">
        <f>'1.5 Несоотв. расч-плат док'!I10</f>
        <v>4.9726277372262775</v>
      </c>
      <c r="J9" s="240">
        <f>'1.6 Доля отклоненных ПГЗ'!I10</f>
        <v>0</v>
      </c>
      <c r="K9" s="240">
        <f>'1.7. Эффективность исп. МТ '!I9</f>
        <v>5</v>
      </c>
      <c r="L9" s="240">
        <f>'1.8. Эффект.управл. КЗ'!L10</f>
        <v>5</v>
      </c>
      <c r="M9" s="240">
        <f>'1.9. Налчие просроч.КЗ'!G10</f>
        <v>10</v>
      </c>
      <c r="N9" s="240">
        <f>'1.10 Приостановление операций'!H10</f>
        <v>5</v>
      </c>
      <c r="O9" s="240">
        <f>'2.1. Кач-во пл.пост.налог+ненал'!I9</f>
        <v>5</v>
      </c>
      <c r="P9" s="240">
        <f>'2.2. Качество администр. ост.'!I11</f>
        <v>5</v>
      </c>
      <c r="Q9" s="240">
        <f>'2.3 Кач-во управ. просроч.ДЗ'!I11</f>
        <v>0</v>
      </c>
      <c r="R9" s="240">
        <f>'3.1 Степень достовер.отчет'!I10</f>
        <v>5</v>
      </c>
      <c r="S9" s="240">
        <f>'3.2 Нарушение треб. к бюдж.уч.'!H10</f>
        <v>5</v>
      </c>
      <c r="T9" s="240">
        <f>'4 Наличие на сайте ГМУ'!I10</f>
        <v>5</v>
      </c>
      <c r="U9" s="240">
        <f>'5 Управление активами'!H10</f>
        <v>5</v>
      </c>
      <c r="V9" s="152">
        <f t="shared" si="25"/>
        <v>89.010199893692658</v>
      </c>
      <c r="W9" s="326">
        <v>10</v>
      </c>
      <c r="X9" s="282">
        <f t="shared" si="26"/>
        <v>6.7742247660120825E-3</v>
      </c>
      <c r="Y9" s="282">
        <f t="shared" si="2"/>
        <v>0.95565361876760413</v>
      </c>
      <c r="Z9" s="282">
        <f t="shared" si="3"/>
        <v>0</v>
      </c>
      <c r="AA9" s="282">
        <f t="shared" si="4"/>
        <v>0</v>
      </c>
      <c r="AB9" s="282">
        <f t="shared" si="5"/>
        <v>2.7372262773722511E-2</v>
      </c>
      <c r="AC9" s="282">
        <f t="shared" si="6"/>
        <v>5</v>
      </c>
      <c r="AD9" s="282">
        <f t="shared" si="7"/>
        <v>0</v>
      </c>
      <c r="AE9" s="282">
        <f t="shared" si="8"/>
        <v>0</v>
      </c>
      <c r="AF9" s="282">
        <f t="shared" si="9"/>
        <v>0</v>
      </c>
      <c r="AG9" s="282">
        <f t="shared" si="10"/>
        <v>0</v>
      </c>
      <c r="AH9" s="282">
        <f t="shared" si="11"/>
        <v>0</v>
      </c>
      <c r="AI9" s="282">
        <f t="shared" si="12"/>
        <v>0</v>
      </c>
      <c r="AJ9" s="282">
        <f t="shared" si="13"/>
        <v>5</v>
      </c>
      <c r="AK9" s="282">
        <f t="shared" si="14"/>
        <v>0</v>
      </c>
      <c r="AL9" s="282">
        <f t="shared" si="15"/>
        <v>0</v>
      </c>
      <c r="AM9" s="282">
        <f t="shared" si="16"/>
        <v>0</v>
      </c>
      <c r="AN9" s="282">
        <f t="shared" si="17"/>
        <v>0</v>
      </c>
      <c r="AO9" s="364">
        <f t="shared" si="18"/>
        <v>5.9898001063073387</v>
      </c>
      <c r="AP9" s="310">
        <f t="shared" si="19"/>
        <v>9.2150770866266747</v>
      </c>
      <c r="AQ9" s="364">
        <f t="shared" si="20"/>
        <v>5</v>
      </c>
      <c r="AR9" s="309">
        <f t="shared" si="27"/>
        <v>33.333333333333329</v>
      </c>
      <c r="AS9" s="310">
        <f t="shared" si="21"/>
        <v>0</v>
      </c>
      <c r="AT9" s="22">
        <f t="shared" si="22"/>
        <v>0</v>
      </c>
      <c r="AU9" s="22">
        <f t="shared" si="23"/>
        <v>0</v>
      </c>
      <c r="AV9" s="22">
        <f t="shared" si="24"/>
        <v>0</v>
      </c>
    </row>
    <row r="10" spans="1:48" ht="46.9" customHeight="1" x14ac:dyDescent="0.25">
      <c r="A10" s="57" t="s">
        <v>19</v>
      </c>
      <c r="B10" s="58" t="s">
        <v>31</v>
      </c>
      <c r="C10" s="58" t="s">
        <v>32</v>
      </c>
      <c r="D10" s="59" t="s">
        <v>33</v>
      </c>
      <c r="E10" s="360">
        <f>'1.1 Кач. планирования расходов'!I12</f>
        <v>9.783605320252807</v>
      </c>
      <c r="F10" s="187">
        <f>'1.2. Качество исполнения КП'!AQ12</f>
        <v>4.3211915933638805</v>
      </c>
      <c r="G10" s="187">
        <f>'1.3. Доля неиспользованых БА'!I12</f>
        <v>10</v>
      </c>
      <c r="H10" s="187">
        <f>'1.4 Своевременность принятия БО'!I11</f>
        <v>5</v>
      </c>
      <c r="I10" s="187">
        <f>'1.5 Несоотв. расч-плат док'!I11</f>
        <v>4.9797570850202426</v>
      </c>
      <c r="J10" s="240">
        <f>'1.6 Доля отклоненных ПГЗ'!I11</f>
        <v>5</v>
      </c>
      <c r="K10" s="240">
        <f>'1.7. Эффективность исп. МТ '!I10</f>
        <v>5</v>
      </c>
      <c r="L10" s="240">
        <f>'1.8. Эффект.управл. КЗ'!L11</f>
        <v>5</v>
      </c>
      <c r="M10" s="240">
        <f>'1.9. Налчие просроч.КЗ'!G11</f>
        <v>10</v>
      </c>
      <c r="N10" s="240">
        <f>'1.10 Приостановление операций'!H11</f>
        <v>5</v>
      </c>
      <c r="O10" s="240">
        <f>'2.1. Кач-во пл.пост.налог+ненал'!I10</f>
        <v>5</v>
      </c>
      <c r="P10" s="240">
        <f>'2.2. Качество администр. ост.'!I12</f>
        <v>5</v>
      </c>
      <c r="Q10" s="240">
        <f>'2.3 Кач-во управ. просроч.ДЗ'!I12</f>
        <v>5</v>
      </c>
      <c r="R10" s="240">
        <f>'3.1 Степень достовер.отчет'!I11</f>
        <v>5</v>
      </c>
      <c r="S10" s="240">
        <f>'3.2 Нарушение треб. к бюдж.уч.'!H11</f>
        <v>5</v>
      </c>
      <c r="T10" s="240">
        <f>'4 Наличие на сайте ГМУ'!I11</f>
        <v>5</v>
      </c>
      <c r="U10" s="240">
        <f>'5 Управление активами'!H11</f>
        <v>5</v>
      </c>
      <c r="V10" s="152">
        <f t="shared" si="25"/>
        <v>99.084553998636935</v>
      </c>
      <c r="W10" s="326">
        <v>3</v>
      </c>
      <c r="X10" s="282">
        <f t="shared" si="26"/>
        <v>0.21639467974719295</v>
      </c>
      <c r="Y10" s="282">
        <f t="shared" si="2"/>
        <v>0.67880840663611952</v>
      </c>
      <c r="Z10" s="282">
        <f t="shared" si="3"/>
        <v>0</v>
      </c>
      <c r="AA10" s="282">
        <f t="shared" si="4"/>
        <v>0</v>
      </c>
      <c r="AB10" s="282">
        <f t="shared" si="5"/>
        <v>2.0242914979757387E-2</v>
      </c>
      <c r="AC10" s="282">
        <f t="shared" si="6"/>
        <v>0</v>
      </c>
      <c r="AD10" s="282">
        <f t="shared" si="7"/>
        <v>0</v>
      </c>
      <c r="AE10" s="282">
        <f t="shared" si="8"/>
        <v>0</v>
      </c>
      <c r="AF10" s="282">
        <f t="shared" si="9"/>
        <v>0</v>
      </c>
      <c r="AG10" s="282">
        <f t="shared" si="10"/>
        <v>0</v>
      </c>
      <c r="AH10" s="282">
        <f t="shared" si="11"/>
        <v>0</v>
      </c>
      <c r="AI10" s="282">
        <f t="shared" si="12"/>
        <v>0</v>
      </c>
      <c r="AJ10" s="282">
        <f t="shared" si="13"/>
        <v>0</v>
      </c>
      <c r="AK10" s="282">
        <f t="shared" si="14"/>
        <v>0</v>
      </c>
      <c r="AL10" s="282">
        <f t="shared" si="15"/>
        <v>0</v>
      </c>
      <c r="AM10" s="282">
        <f t="shared" si="16"/>
        <v>0</v>
      </c>
      <c r="AN10" s="282">
        <f t="shared" si="17"/>
        <v>0</v>
      </c>
      <c r="AO10" s="364">
        <f t="shared" si="18"/>
        <v>0.91544600136306986</v>
      </c>
      <c r="AP10" s="310">
        <f t="shared" si="19"/>
        <v>1.4083784636354921</v>
      </c>
      <c r="AQ10" s="364">
        <f t="shared" si="20"/>
        <v>0</v>
      </c>
      <c r="AR10" s="365">
        <f t="shared" si="27"/>
        <v>0</v>
      </c>
      <c r="AS10" s="310">
        <f t="shared" si="21"/>
        <v>0</v>
      </c>
      <c r="AT10" s="22">
        <f t="shared" si="22"/>
        <v>0</v>
      </c>
      <c r="AU10" s="22">
        <f t="shared" si="23"/>
        <v>0</v>
      </c>
      <c r="AV10" s="22">
        <f t="shared" si="24"/>
        <v>0</v>
      </c>
    </row>
    <row r="11" spans="1:48" ht="19.5" customHeight="1" x14ac:dyDescent="0.25">
      <c r="A11" s="295" t="s">
        <v>20</v>
      </c>
      <c r="B11" s="296" t="s">
        <v>34</v>
      </c>
      <c r="C11" s="296" t="s">
        <v>35</v>
      </c>
      <c r="D11" s="297" t="s">
        <v>36</v>
      </c>
      <c r="E11" s="298">
        <f>'1.1 Кач. планирования расходов'!I13</f>
        <v>0</v>
      </c>
      <c r="F11" s="299">
        <f>'1.2. Качество исполнения КП'!AQ13</f>
        <v>0</v>
      </c>
      <c r="G11" s="299">
        <f>'1.3. Доля неиспользованых БА'!I13</f>
        <v>0</v>
      </c>
      <c r="H11" s="299">
        <f>'1.4 Своевременность принятия БО'!I12</f>
        <v>5</v>
      </c>
      <c r="I11" s="299">
        <f>'1.5 Несоотв. расч-плат док'!I12</f>
        <v>4.8365807668133245</v>
      </c>
      <c r="J11" s="300">
        <f>'1.6 Доля отклоненных ПГЗ'!I12</f>
        <v>0</v>
      </c>
      <c r="K11" s="300">
        <f>'1.7. Эффективность исп. МТ '!I11</f>
        <v>0</v>
      </c>
      <c r="L11" s="300">
        <f>'1.8. Эффект.управл. КЗ'!L12</f>
        <v>0</v>
      </c>
      <c r="M11" s="300">
        <f>'1.9. Налчие просроч.КЗ'!G12</f>
        <v>10</v>
      </c>
      <c r="N11" s="300">
        <f>'1.10 Приостановление операций'!H12</f>
        <v>5</v>
      </c>
      <c r="O11" s="300">
        <f>'2.1. Кач-во пл.пост.налог+ненал'!I11</f>
        <v>2.5</v>
      </c>
      <c r="P11" s="300">
        <f>'2.2. Качество администр. ост.'!I13</f>
        <v>5</v>
      </c>
      <c r="Q11" s="300">
        <f>'2.3 Кач-во управ. просроч.ДЗ'!I13</f>
        <v>0</v>
      </c>
      <c r="R11" s="300">
        <f>'3.1 Степень достовер.отчет'!I12</f>
        <v>5</v>
      </c>
      <c r="S11" s="300">
        <f>'3.2 Нарушение треб. к бюдж.уч.'!H12</f>
        <v>5</v>
      </c>
      <c r="T11" s="300">
        <f>'4 Наличие на сайте ГМУ'!I12</f>
        <v>5</v>
      </c>
      <c r="U11" s="300">
        <f>'5 Управление активами'!H12</f>
        <v>5</v>
      </c>
      <c r="V11" s="301">
        <f t="shared" si="25"/>
        <v>52.336580766813327</v>
      </c>
      <c r="W11" s="367">
        <v>12</v>
      </c>
      <c r="X11" s="282">
        <f t="shared" si="26"/>
        <v>10</v>
      </c>
      <c r="Y11" s="282">
        <f t="shared" si="2"/>
        <v>5</v>
      </c>
      <c r="Z11" s="282">
        <f t="shared" si="3"/>
        <v>10</v>
      </c>
      <c r="AA11" s="282">
        <f t="shared" si="4"/>
        <v>0</v>
      </c>
      <c r="AB11" s="282">
        <f t="shared" si="5"/>
        <v>0.16341923318667551</v>
      </c>
      <c r="AC11" s="282">
        <f t="shared" si="6"/>
        <v>5</v>
      </c>
      <c r="AD11" s="282">
        <f t="shared" si="7"/>
        <v>5</v>
      </c>
      <c r="AE11" s="282">
        <f t="shared" si="8"/>
        <v>5</v>
      </c>
      <c r="AF11" s="282">
        <f t="shared" si="9"/>
        <v>0</v>
      </c>
      <c r="AG11" s="282">
        <f t="shared" si="10"/>
        <v>0</v>
      </c>
      <c r="AH11" s="282">
        <f t="shared" si="11"/>
        <v>2.5</v>
      </c>
      <c r="AI11" s="282">
        <f t="shared" si="12"/>
        <v>0</v>
      </c>
      <c r="AJ11" s="282">
        <f t="shared" si="13"/>
        <v>5</v>
      </c>
      <c r="AK11" s="282">
        <f t="shared" si="14"/>
        <v>0</v>
      </c>
      <c r="AL11" s="282">
        <f t="shared" si="15"/>
        <v>0</v>
      </c>
      <c r="AM11" s="282">
        <f t="shared" si="16"/>
        <v>0</v>
      </c>
      <c r="AN11" s="282">
        <f t="shared" si="17"/>
        <v>0</v>
      </c>
      <c r="AO11" s="364">
        <f>SUM(X11:AG11)</f>
        <v>40.163419233186673</v>
      </c>
      <c r="AP11" s="309">
        <f t="shared" si="19"/>
        <v>61.789875743364107</v>
      </c>
      <c r="AQ11" s="364">
        <f>SUM(AH11:AJ11)</f>
        <v>7.5</v>
      </c>
      <c r="AR11" s="309">
        <f>AQ11/15*100</f>
        <v>50</v>
      </c>
      <c r="AS11" s="310">
        <f t="shared" si="21"/>
        <v>0</v>
      </c>
      <c r="AT11" s="22">
        <f t="shared" si="22"/>
        <v>0</v>
      </c>
      <c r="AU11" s="22">
        <f t="shared" si="23"/>
        <v>0</v>
      </c>
      <c r="AV11" s="22">
        <f t="shared" si="24"/>
        <v>0</v>
      </c>
    </row>
    <row r="12" spans="1:48" s="13" customFormat="1" ht="31.5" customHeight="1" x14ac:dyDescent="0.25">
      <c r="A12" s="29" t="s">
        <v>21</v>
      </c>
      <c r="B12" s="30" t="s">
        <v>40</v>
      </c>
      <c r="C12" s="30" t="s">
        <v>38</v>
      </c>
      <c r="D12" s="31" t="s">
        <v>39</v>
      </c>
      <c r="E12" s="284">
        <f>'1.1 Кач. планирования расходов'!I14</f>
        <v>9.8766054595475641</v>
      </c>
      <c r="F12" s="238">
        <f>'1.2. Качество исполнения КП'!AQ14</f>
        <v>3.7742857452369121</v>
      </c>
      <c r="G12" s="238">
        <f>'1.3. Доля неиспользованых БА'!I14</f>
        <v>9.4160705816414492</v>
      </c>
      <c r="H12" s="238">
        <f>'1.4 Своевременность принятия БО'!I13</f>
        <v>5</v>
      </c>
      <c r="I12" s="238">
        <f>'1.5 Несоотв. расч-плат док'!I13</f>
        <v>4.8785179459061041</v>
      </c>
      <c r="J12" s="239">
        <f>'1.6 Доля отклоненных ПГЗ'!I13</f>
        <v>4.9061810154525389</v>
      </c>
      <c r="K12" s="239">
        <f>'1.7. Эффективность исп. МТ '!I12</f>
        <v>5</v>
      </c>
      <c r="L12" s="239">
        <f>'1.8. Эффект.управл. КЗ'!L13</f>
        <v>5</v>
      </c>
      <c r="M12" s="239">
        <f>'1.9. Налчие просроч.КЗ'!G13</f>
        <v>10</v>
      </c>
      <c r="N12" s="239">
        <f>'1.10 Приостановление операций'!H13</f>
        <v>5</v>
      </c>
      <c r="O12" s="239">
        <f>'2.1. Кач-во пл.пост.налог+ненал'!I12</f>
        <v>2.5</v>
      </c>
      <c r="P12" s="239">
        <f>'2.2. Качество администр. ост.'!I14</f>
        <v>5</v>
      </c>
      <c r="Q12" s="239">
        <f>'2.3 Кач-во управ. просроч.ДЗ'!I14</f>
        <v>5</v>
      </c>
      <c r="R12" s="239">
        <f>'3.1 Степень достовер.отчет'!I13</f>
        <v>5</v>
      </c>
      <c r="S12" s="239">
        <f>'3.2 Нарушение треб. к бюдж.уч.'!H13</f>
        <v>5</v>
      </c>
      <c r="T12" s="239">
        <f>'4 Наличие на сайте ГМУ'!I13</f>
        <v>5</v>
      </c>
      <c r="U12" s="240">
        <f>'5 Управление активами'!H13</f>
        <v>5</v>
      </c>
      <c r="V12" s="100">
        <f t="shared" si="25"/>
        <v>95.351660747784564</v>
      </c>
      <c r="W12" s="327">
        <v>5</v>
      </c>
      <c r="X12" s="291">
        <f t="shared" si="26"/>
        <v>0.12339454045243592</v>
      </c>
      <c r="Y12" s="291">
        <f t="shared" si="2"/>
        <v>1.2257142547630879</v>
      </c>
      <c r="Z12" s="282">
        <f t="shared" si="3"/>
        <v>0.58392941835855083</v>
      </c>
      <c r="AA12" s="291">
        <f t="shared" si="4"/>
        <v>0</v>
      </c>
      <c r="AB12" s="291">
        <f t="shared" si="5"/>
        <v>0.1214820540938959</v>
      </c>
      <c r="AC12" s="291">
        <f t="shared" si="6"/>
        <v>9.3818984547461071E-2</v>
      </c>
      <c r="AD12" s="291">
        <f t="shared" si="7"/>
        <v>0</v>
      </c>
      <c r="AE12" s="291">
        <f t="shared" si="8"/>
        <v>0</v>
      </c>
      <c r="AF12" s="291">
        <f t="shared" si="9"/>
        <v>0</v>
      </c>
      <c r="AG12" s="291">
        <f t="shared" si="10"/>
        <v>0</v>
      </c>
      <c r="AH12" s="291">
        <f t="shared" si="11"/>
        <v>2.5</v>
      </c>
      <c r="AI12" s="291">
        <f t="shared" si="12"/>
        <v>0</v>
      </c>
      <c r="AJ12" s="291">
        <f t="shared" si="13"/>
        <v>0</v>
      </c>
      <c r="AK12" s="291">
        <f t="shared" si="14"/>
        <v>0</v>
      </c>
      <c r="AL12" s="291">
        <f t="shared" si="15"/>
        <v>0</v>
      </c>
      <c r="AM12" s="291">
        <f t="shared" si="16"/>
        <v>0</v>
      </c>
      <c r="AN12" s="291">
        <f t="shared" si="17"/>
        <v>0</v>
      </c>
      <c r="AO12" s="364">
        <f t="shared" si="18"/>
        <v>2.1483392522154316</v>
      </c>
      <c r="AP12" s="310">
        <f t="shared" si="19"/>
        <v>3.3051373111006646</v>
      </c>
      <c r="AQ12" s="364">
        <f t="shared" si="20"/>
        <v>2.5</v>
      </c>
      <c r="AR12" s="364">
        <f t="shared" si="27"/>
        <v>16.666666666666664</v>
      </c>
      <c r="AS12" s="310">
        <f t="shared" si="21"/>
        <v>0</v>
      </c>
      <c r="AT12" s="365">
        <f t="shared" si="22"/>
        <v>0</v>
      </c>
      <c r="AU12" s="22">
        <f t="shared" si="23"/>
        <v>0</v>
      </c>
      <c r="AV12" s="22">
        <f t="shared" si="24"/>
        <v>0</v>
      </c>
    </row>
    <row r="13" spans="1:48" x14ac:dyDescent="0.25">
      <c r="A13" s="32">
        <v>9</v>
      </c>
      <c r="B13" s="30" t="s">
        <v>41</v>
      </c>
      <c r="C13" s="30" t="s">
        <v>42</v>
      </c>
      <c r="D13" s="31" t="s">
        <v>43</v>
      </c>
      <c r="E13" s="197">
        <f>'1.1 Кач. планирования расходов'!I15</f>
        <v>9.8155253519183301</v>
      </c>
      <c r="F13" s="238">
        <f>'1.2. Качество исполнения КП'!AQ15</f>
        <v>4.4724862137635677</v>
      </c>
      <c r="G13" s="187">
        <f>'1.3. Доля неиспользованых БА'!I15</f>
        <v>9.9999135805263641</v>
      </c>
      <c r="H13" s="187">
        <f>'1.4 Своевременность принятия БО'!I14</f>
        <v>5</v>
      </c>
      <c r="I13" s="187">
        <f>'1.5 Несоотв. расч-плат док'!I14</f>
        <v>4.9413065668594758</v>
      </c>
      <c r="J13" s="240">
        <f>'1.6 Доля отклоненных ПГЗ'!I14</f>
        <v>0</v>
      </c>
      <c r="K13" s="240">
        <f>'1.7. Эффективность исп. МТ '!I13</f>
        <v>5</v>
      </c>
      <c r="L13" s="240">
        <f>'1.8. Эффект.управл. КЗ'!L14</f>
        <v>5</v>
      </c>
      <c r="M13" s="240">
        <f>'1.9. Налчие просроч.КЗ'!G14</f>
        <v>10</v>
      </c>
      <c r="N13" s="240">
        <f>'1.10 Приостановление операций'!H14</f>
        <v>5</v>
      </c>
      <c r="O13" s="240">
        <f>'2.1. Кач-во пл.пост.налог+ненал'!I13</f>
        <v>5</v>
      </c>
      <c r="P13" s="240">
        <f>'2.2. Качество администр. ост.'!I15</f>
        <v>5</v>
      </c>
      <c r="Q13" s="240">
        <f>'2.3 Кач-во управ. просроч.ДЗ'!I15</f>
        <v>0</v>
      </c>
      <c r="R13" s="240">
        <f>'3.1 Степень достовер.отчет'!I14</f>
        <v>5</v>
      </c>
      <c r="S13" s="240">
        <f>'3.2 Нарушение треб. к бюдж.уч.'!H14</f>
        <v>5</v>
      </c>
      <c r="T13" s="240">
        <f>'4 Наличие на сайте ГМУ'!I14</f>
        <v>5</v>
      </c>
      <c r="U13" s="240">
        <f>'5 Управление активами'!H14</f>
        <v>5</v>
      </c>
      <c r="V13" s="152">
        <f t="shared" si="25"/>
        <v>89.229231713067747</v>
      </c>
      <c r="W13" s="326">
        <v>9</v>
      </c>
      <c r="X13" s="282">
        <f t="shared" si="26"/>
        <v>0.18447464808166991</v>
      </c>
      <c r="Y13" s="282">
        <f t="shared" si="2"/>
        <v>0.5275137862364323</v>
      </c>
      <c r="Z13" s="282">
        <f t="shared" si="3"/>
        <v>8.6419473635857003E-5</v>
      </c>
      <c r="AA13" s="282">
        <f t="shared" si="4"/>
        <v>0</v>
      </c>
      <c r="AB13" s="282">
        <f t="shared" si="5"/>
        <v>5.869343314052422E-2</v>
      </c>
      <c r="AC13" s="282">
        <f t="shared" si="6"/>
        <v>5</v>
      </c>
      <c r="AD13" s="282">
        <f t="shared" si="7"/>
        <v>0</v>
      </c>
      <c r="AE13" s="282">
        <f t="shared" si="8"/>
        <v>0</v>
      </c>
      <c r="AF13" s="282">
        <f t="shared" si="9"/>
        <v>0</v>
      </c>
      <c r="AG13" s="282">
        <f t="shared" si="10"/>
        <v>0</v>
      </c>
      <c r="AH13" s="282">
        <f t="shared" si="11"/>
        <v>0</v>
      </c>
      <c r="AI13" s="282">
        <f t="shared" si="12"/>
        <v>0</v>
      </c>
      <c r="AJ13" s="282">
        <f t="shared" si="13"/>
        <v>5</v>
      </c>
      <c r="AK13" s="282">
        <f t="shared" si="14"/>
        <v>0</v>
      </c>
      <c r="AL13" s="282">
        <f t="shared" si="15"/>
        <v>0</v>
      </c>
      <c r="AM13" s="282">
        <f t="shared" si="16"/>
        <v>0</v>
      </c>
      <c r="AN13" s="282">
        <f t="shared" si="17"/>
        <v>0</v>
      </c>
      <c r="AO13" s="364">
        <f t="shared" si="18"/>
        <v>5.7707682869322623</v>
      </c>
      <c r="AP13" s="310">
        <f t="shared" si="19"/>
        <v>8.8781050568188657</v>
      </c>
      <c r="AQ13" s="364">
        <f t="shared" si="20"/>
        <v>5</v>
      </c>
      <c r="AR13" s="309">
        <f t="shared" si="27"/>
        <v>33.333333333333329</v>
      </c>
      <c r="AS13" s="310">
        <f>AK13+AL13</f>
        <v>0</v>
      </c>
      <c r="AT13" s="366">
        <f>AS13/10*100</f>
        <v>0</v>
      </c>
      <c r="AU13" s="365">
        <f t="shared" si="23"/>
        <v>0</v>
      </c>
      <c r="AV13" s="22">
        <f t="shared" si="24"/>
        <v>0</v>
      </c>
    </row>
    <row r="14" spans="1:48" ht="31.9" customHeight="1" x14ac:dyDescent="0.25">
      <c r="A14" s="32">
        <v>10</v>
      </c>
      <c r="B14" s="30" t="s">
        <v>44</v>
      </c>
      <c r="C14" s="30" t="s">
        <v>45</v>
      </c>
      <c r="D14" s="31" t="s">
        <v>46</v>
      </c>
      <c r="E14" s="197">
        <f>'1.1 Кач. планирования расходов'!I16</f>
        <v>9.8516657525149682</v>
      </c>
      <c r="F14" s="238">
        <f>'1.2. Качество исполнения КП'!AQ16</f>
        <v>3.9617379226043066</v>
      </c>
      <c r="G14" s="187">
        <f>'1.3. Доля неиспользованых БА'!I16</f>
        <v>10</v>
      </c>
      <c r="H14" s="187">
        <f>'1.4 Своевременность принятия БО'!I15</f>
        <v>5</v>
      </c>
      <c r="I14" s="187">
        <f>'1.5 Несоотв. расч-плат док'!I15</f>
        <v>4.8732289336316184</v>
      </c>
      <c r="J14" s="240">
        <f>'1.6 Доля отклоненных ПГЗ'!I15</f>
        <v>5</v>
      </c>
      <c r="K14" s="240">
        <f>'1.7. Эффективность исп. МТ '!I14</f>
        <v>5</v>
      </c>
      <c r="L14" s="240">
        <f>'1.8. Эффект.управл. КЗ'!L15</f>
        <v>5</v>
      </c>
      <c r="M14" s="240">
        <f>'1.9. Налчие просроч.КЗ'!G15</f>
        <v>10</v>
      </c>
      <c r="N14" s="240">
        <f>'1.10 Приостановление операций'!H15</f>
        <v>5</v>
      </c>
      <c r="O14" s="240">
        <f>'2.1. Кач-во пл.пост.налог+ненал'!I14</f>
        <v>5</v>
      </c>
      <c r="P14" s="240">
        <f>'2.2. Качество администр. ост.'!I16</f>
        <v>5</v>
      </c>
      <c r="Q14" s="240">
        <f>'2.3 Кач-во управ. просроч.ДЗ'!I16</f>
        <v>0</v>
      </c>
      <c r="R14" s="240">
        <f>'3.1 Степень достовер.отчет'!I15</f>
        <v>5</v>
      </c>
      <c r="S14" s="240">
        <f>'3.2 Нарушение треб. к бюдж.уч.'!H15</f>
        <v>5</v>
      </c>
      <c r="T14" s="240">
        <f>'4 Наличие на сайте ГМУ'!I15</f>
        <v>5</v>
      </c>
      <c r="U14" s="240">
        <f>'5 Управление активами'!H15</f>
        <v>5</v>
      </c>
      <c r="V14" s="152">
        <f t="shared" si="25"/>
        <v>93.686632608750898</v>
      </c>
      <c r="W14" s="326">
        <v>7</v>
      </c>
      <c r="X14" s="282">
        <f>10-E14</f>
        <v>0.14833424748503177</v>
      </c>
      <c r="Y14" s="282">
        <f t="shared" si="2"/>
        <v>1.0382620773956934</v>
      </c>
      <c r="Z14" s="282">
        <f t="shared" si="3"/>
        <v>0</v>
      </c>
      <c r="AA14" s="282">
        <f t="shared" si="4"/>
        <v>0</v>
      </c>
      <c r="AB14" s="282">
        <f t="shared" si="5"/>
        <v>0.12677106636838165</v>
      </c>
      <c r="AC14" s="282">
        <f t="shared" si="6"/>
        <v>0</v>
      </c>
      <c r="AD14" s="282">
        <f t="shared" si="7"/>
        <v>0</v>
      </c>
      <c r="AE14" s="282">
        <f t="shared" si="8"/>
        <v>0</v>
      </c>
      <c r="AF14" s="282">
        <f t="shared" si="9"/>
        <v>0</v>
      </c>
      <c r="AG14" s="282">
        <f t="shared" si="10"/>
        <v>0</v>
      </c>
      <c r="AH14" s="282">
        <f t="shared" si="11"/>
        <v>0</v>
      </c>
      <c r="AI14" s="282">
        <f t="shared" si="12"/>
        <v>0</v>
      </c>
      <c r="AJ14" s="282">
        <f t="shared" si="13"/>
        <v>5</v>
      </c>
      <c r="AK14" s="282">
        <f t="shared" si="14"/>
        <v>0</v>
      </c>
      <c r="AL14" s="282">
        <f t="shared" si="15"/>
        <v>0</v>
      </c>
      <c r="AM14" s="282">
        <f t="shared" si="16"/>
        <v>0</v>
      </c>
      <c r="AN14" s="282">
        <f t="shared" si="17"/>
        <v>0</v>
      </c>
      <c r="AO14" s="364">
        <f>SUM(X14:AG14)</f>
        <v>1.3133673912491068</v>
      </c>
      <c r="AP14" s="310">
        <f t="shared" si="19"/>
        <v>2.0205652173063182</v>
      </c>
      <c r="AQ14" s="364">
        <f t="shared" si="20"/>
        <v>5</v>
      </c>
      <c r="AR14" s="309">
        <f t="shared" si="27"/>
        <v>33.333333333333329</v>
      </c>
      <c r="AS14" s="310">
        <f t="shared" si="21"/>
        <v>0</v>
      </c>
      <c r="AT14" s="366">
        <f t="shared" si="22"/>
        <v>0</v>
      </c>
      <c r="AU14" s="365">
        <f t="shared" si="23"/>
        <v>0</v>
      </c>
      <c r="AV14" s="22">
        <f t="shared" si="24"/>
        <v>0</v>
      </c>
    </row>
    <row r="15" spans="1:48" ht="31.5" x14ac:dyDescent="0.25">
      <c r="A15" s="32">
        <v>11</v>
      </c>
      <c r="B15" s="30" t="s">
        <v>47</v>
      </c>
      <c r="C15" s="30" t="s">
        <v>48</v>
      </c>
      <c r="D15" s="31" t="s">
        <v>49</v>
      </c>
      <c r="E15" s="197">
        <f>'1.1 Кач. планирования расходов'!I17</f>
        <v>9.2815223091255987</v>
      </c>
      <c r="F15" s="238">
        <f>'1.2. Качество исполнения КП'!AQ17</f>
        <v>3.7960858946368607</v>
      </c>
      <c r="G15" s="187">
        <f>'1.3. Доля неиспользованых БА'!I17</f>
        <v>10</v>
      </c>
      <c r="H15" s="187">
        <f>'1.4 Своевременность принятия БО'!I16</f>
        <v>5</v>
      </c>
      <c r="I15" s="187">
        <f>'1.5 Несоотв. расч-плат док'!I16</f>
        <v>4.936305732484076</v>
      </c>
      <c r="J15" s="240">
        <f>'1.6 Доля отклоненных ПГЗ'!I16</f>
        <v>4.6428571428571432</v>
      </c>
      <c r="K15" s="240">
        <f>'1.7. Эффективность исп. МТ '!I15</f>
        <v>5</v>
      </c>
      <c r="L15" s="240">
        <f>'1.8. Эффект.управл. КЗ'!L16</f>
        <v>5</v>
      </c>
      <c r="M15" s="240">
        <f>'1.9. Налчие просроч.КЗ'!G16</f>
        <v>10</v>
      </c>
      <c r="N15" s="240">
        <f>'1.10 Приостановление операций'!H16</f>
        <v>5</v>
      </c>
      <c r="O15" s="240">
        <f>'2.1. Кач-во пл.пост.налог+ненал'!I15</f>
        <v>5</v>
      </c>
      <c r="P15" s="240">
        <f>'2.2. Качество администр. ост.'!I17</f>
        <v>5</v>
      </c>
      <c r="Q15" s="240">
        <f>'2.3 Кач-во управ. просроч.ДЗ'!I17</f>
        <v>5</v>
      </c>
      <c r="R15" s="240">
        <f>'3.1 Степень достовер.отчет'!I16</f>
        <v>4.8020000000000005</v>
      </c>
      <c r="S15" s="240">
        <f>'3.2 Нарушение треб. к бюдж.уч.'!H16</f>
        <v>5</v>
      </c>
      <c r="T15" s="240">
        <f>'4 Наличие на сайте ГМУ'!I16</f>
        <v>5</v>
      </c>
      <c r="U15" s="240">
        <f>'5 Управление активами'!H16</f>
        <v>5</v>
      </c>
      <c r="V15" s="152">
        <f t="shared" si="25"/>
        <v>97.458771079103698</v>
      </c>
      <c r="W15" s="326">
        <v>4</v>
      </c>
      <c r="X15" s="282">
        <f t="shared" si="26"/>
        <v>0.71847769087440128</v>
      </c>
      <c r="Y15" s="282">
        <f>5-F15</f>
        <v>1.2039141053631393</v>
      </c>
      <c r="Z15" s="282">
        <f t="shared" si="3"/>
        <v>0</v>
      </c>
      <c r="AA15" s="282">
        <f t="shared" si="4"/>
        <v>0</v>
      </c>
      <c r="AB15" s="282">
        <f t="shared" si="5"/>
        <v>6.3694267515923997E-2</v>
      </c>
      <c r="AC15" s="282">
        <f t="shared" si="6"/>
        <v>0.35714285714285676</v>
      </c>
      <c r="AD15" s="282">
        <f t="shared" si="7"/>
        <v>0</v>
      </c>
      <c r="AE15" s="282">
        <f t="shared" si="8"/>
        <v>0</v>
      </c>
      <c r="AF15" s="282">
        <f t="shared" si="9"/>
        <v>0</v>
      </c>
      <c r="AG15" s="282">
        <f t="shared" si="10"/>
        <v>0</v>
      </c>
      <c r="AH15" s="282">
        <f t="shared" si="11"/>
        <v>0</v>
      </c>
      <c r="AI15" s="282">
        <f t="shared" si="12"/>
        <v>0</v>
      </c>
      <c r="AJ15" s="282">
        <f t="shared" si="13"/>
        <v>0</v>
      </c>
      <c r="AK15" s="282">
        <f t="shared" si="14"/>
        <v>0.19799999999999951</v>
      </c>
      <c r="AL15" s="282">
        <f t="shared" si="15"/>
        <v>0</v>
      </c>
      <c r="AM15" s="282">
        <f t="shared" si="16"/>
        <v>0</v>
      </c>
      <c r="AN15" s="282">
        <f t="shared" si="17"/>
        <v>0</v>
      </c>
      <c r="AO15" s="364">
        <f t="shared" si="18"/>
        <v>2.3432289208963213</v>
      </c>
      <c r="AP15" s="310">
        <f t="shared" si="19"/>
        <v>3.6049675706097255</v>
      </c>
      <c r="AQ15" s="364">
        <f t="shared" si="20"/>
        <v>0</v>
      </c>
      <c r="AR15" s="364">
        <f t="shared" si="27"/>
        <v>0</v>
      </c>
      <c r="AS15" s="310">
        <f t="shared" si="21"/>
        <v>0.19799999999999951</v>
      </c>
      <c r="AT15" s="310">
        <f t="shared" si="22"/>
        <v>1.9799999999999949</v>
      </c>
      <c r="AU15" s="22">
        <f t="shared" si="23"/>
        <v>0</v>
      </c>
      <c r="AV15" s="22">
        <f t="shared" si="24"/>
        <v>0</v>
      </c>
    </row>
    <row r="16" spans="1:48" ht="45.75" customHeight="1" thickBot="1" x14ac:dyDescent="0.3">
      <c r="A16" s="243" t="s">
        <v>37</v>
      </c>
      <c r="B16" s="244" t="s">
        <v>50</v>
      </c>
      <c r="C16" s="244" t="s">
        <v>51</v>
      </c>
      <c r="D16" s="245" t="s">
        <v>52</v>
      </c>
      <c r="E16" s="234">
        <f>'1.1 Кач. планирования расходов'!I18</f>
        <v>9.9858884570429431</v>
      </c>
      <c r="F16" s="241">
        <f>'1.2. Качество исполнения КП'!AQ18</f>
        <v>4.4698649976256384</v>
      </c>
      <c r="G16" s="242">
        <f>'1.3. Доля неиспользованых БА'!I18</f>
        <v>10</v>
      </c>
      <c r="H16" s="242">
        <f>'1.4 Своевременность принятия БО'!I17</f>
        <v>5</v>
      </c>
      <c r="I16" s="242">
        <f>'1.5 Несоотв. расч-плат док'!I17</f>
        <v>4.953880088229397</v>
      </c>
      <c r="J16" s="246">
        <f>'1.6 Доля отклоненных ПГЗ'!I17</f>
        <v>0</v>
      </c>
      <c r="K16" s="246">
        <f>'1.7. Эффективность исп. МТ '!I16</f>
        <v>5</v>
      </c>
      <c r="L16" s="246">
        <f>'1.8. Эффект.управл. КЗ'!L17</f>
        <v>5</v>
      </c>
      <c r="M16" s="246">
        <f>'1.9. Налчие просроч.КЗ'!G17</f>
        <v>10</v>
      </c>
      <c r="N16" s="246">
        <f>'1.10 Приостановление операций'!H17</f>
        <v>5</v>
      </c>
      <c r="O16" s="246">
        <f>'2.1. Кач-во пл.пост.налог+ненал'!I16</f>
        <v>5</v>
      </c>
      <c r="P16" s="246">
        <f>'2.2. Качество администр. ост.'!I18</f>
        <v>5</v>
      </c>
      <c r="Q16" s="246">
        <f>'2.3 Кач-во управ. просроч.ДЗ'!I18</f>
        <v>0</v>
      </c>
      <c r="R16" s="246">
        <f>'3.1 Степень достовер.отчет'!I17</f>
        <v>5</v>
      </c>
      <c r="S16" s="246">
        <f>'3.2 Нарушение треб. к бюдж.уч.'!H17</f>
        <v>5</v>
      </c>
      <c r="T16" s="246">
        <f>'4 Наличие на сайте ГМУ'!I17</f>
        <v>5</v>
      </c>
      <c r="U16" s="240">
        <f>'5 Управление активами'!H17</f>
        <v>5</v>
      </c>
      <c r="V16" s="247">
        <f t="shared" si="25"/>
        <v>89.409633542897978</v>
      </c>
      <c r="W16" s="328">
        <v>8</v>
      </c>
      <c r="X16" s="282">
        <f t="shared" si="26"/>
        <v>1.4111542957056855E-2</v>
      </c>
      <c r="Y16" s="282">
        <f t="shared" si="2"/>
        <v>0.53013500237436162</v>
      </c>
      <c r="Z16" s="282">
        <f t="shared" si="3"/>
        <v>0</v>
      </c>
      <c r="AA16" s="282">
        <f t="shared" si="4"/>
        <v>0</v>
      </c>
      <c r="AB16" s="282">
        <f t="shared" si="5"/>
        <v>4.6119911770603039E-2</v>
      </c>
      <c r="AC16" s="282">
        <f t="shared" si="6"/>
        <v>5</v>
      </c>
      <c r="AD16" s="282">
        <f t="shared" si="7"/>
        <v>0</v>
      </c>
      <c r="AE16" s="282">
        <f t="shared" si="8"/>
        <v>0</v>
      </c>
      <c r="AF16" s="282">
        <f t="shared" si="9"/>
        <v>0</v>
      </c>
      <c r="AG16" s="282">
        <f t="shared" si="10"/>
        <v>0</v>
      </c>
      <c r="AH16" s="282">
        <f t="shared" si="11"/>
        <v>0</v>
      </c>
      <c r="AI16" s="282">
        <f t="shared" si="12"/>
        <v>0</v>
      </c>
      <c r="AJ16" s="282">
        <f t="shared" si="13"/>
        <v>5</v>
      </c>
      <c r="AK16" s="282">
        <f t="shared" si="14"/>
        <v>0</v>
      </c>
      <c r="AL16" s="282">
        <f t="shared" si="15"/>
        <v>0</v>
      </c>
      <c r="AM16" s="282">
        <f t="shared" si="16"/>
        <v>0</v>
      </c>
      <c r="AN16" s="282">
        <f t="shared" si="17"/>
        <v>0</v>
      </c>
      <c r="AO16" s="364">
        <f t="shared" si="18"/>
        <v>5.5903664571020215</v>
      </c>
      <c r="AP16" s="310">
        <f t="shared" si="19"/>
        <v>8.6005637801569552</v>
      </c>
      <c r="AQ16" s="364">
        <f t="shared" si="20"/>
        <v>5</v>
      </c>
      <c r="AR16" s="388">
        <f>AQ16/15*100</f>
        <v>33.333333333333329</v>
      </c>
      <c r="AS16" s="310">
        <f t="shared" si="21"/>
        <v>0</v>
      </c>
      <c r="AT16" s="22">
        <f t="shared" si="22"/>
        <v>0</v>
      </c>
      <c r="AU16" s="22">
        <f t="shared" si="23"/>
        <v>0</v>
      </c>
      <c r="AV16" s="22">
        <f t="shared" si="24"/>
        <v>0</v>
      </c>
    </row>
    <row r="17" spans="1:23" s="36" customFormat="1" x14ac:dyDescent="0.25">
      <c r="A17" s="506" t="s">
        <v>194</v>
      </c>
      <c r="B17" s="507"/>
      <c r="C17" s="507"/>
      <c r="D17" s="508"/>
      <c r="E17" s="286">
        <f>SUM(E5:E16)</f>
        <v>108.21296671724734</v>
      </c>
      <c r="F17" s="286">
        <f t="shared" ref="F17:T17" si="28">SUM(F5:F16)</f>
        <v>45.41757126804589</v>
      </c>
      <c r="G17" s="286">
        <f t="shared" si="28"/>
        <v>106.35046000420357</v>
      </c>
      <c r="H17" s="286">
        <f t="shared" si="28"/>
        <v>60</v>
      </c>
      <c r="I17" s="286">
        <f t="shared" si="28"/>
        <v>59.243378544882248</v>
      </c>
      <c r="J17" s="286">
        <f t="shared" si="28"/>
        <v>29.549038158309681</v>
      </c>
      <c r="K17" s="286">
        <f t="shared" si="28"/>
        <v>50</v>
      </c>
      <c r="L17" s="286">
        <f t="shared" si="28"/>
        <v>54.957524656582962</v>
      </c>
      <c r="M17" s="286">
        <f t="shared" si="28"/>
        <v>120</v>
      </c>
      <c r="N17" s="286">
        <f t="shared" si="28"/>
        <v>60</v>
      </c>
      <c r="O17" s="286">
        <f t="shared" si="28"/>
        <v>55</v>
      </c>
      <c r="P17" s="286">
        <f t="shared" si="28"/>
        <v>60</v>
      </c>
      <c r="Q17" s="286">
        <f t="shared" si="28"/>
        <v>31.77</v>
      </c>
      <c r="R17" s="286">
        <f t="shared" si="28"/>
        <v>59.802</v>
      </c>
      <c r="S17" s="286">
        <f t="shared" si="28"/>
        <v>60</v>
      </c>
      <c r="T17" s="286">
        <f t="shared" si="28"/>
        <v>60</v>
      </c>
      <c r="U17" s="286">
        <f t="shared" ref="U17" si="29">SUM(U5:U16)</f>
        <v>60</v>
      </c>
      <c r="V17" s="289">
        <f t="shared" ref="V17" si="30">SUM(V5:V16)</f>
        <v>1080.3029393492716</v>
      </c>
      <c r="W17" s="287"/>
    </row>
    <row r="18" spans="1:23" s="36" customFormat="1" x14ac:dyDescent="0.25">
      <c r="A18" s="509" t="s">
        <v>185</v>
      </c>
      <c r="B18" s="510"/>
      <c r="C18" s="510"/>
      <c r="D18" s="511"/>
      <c r="E18" s="256">
        <f>E17/12</f>
        <v>9.0177472264372778</v>
      </c>
      <c r="F18" s="256">
        <f t="shared" ref="F18:U18" si="31">F17/12</f>
        <v>3.7847976056704908</v>
      </c>
      <c r="G18" s="256">
        <f t="shared" si="31"/>
        <v>8.8625383336836308</v>
      </c>
      <c r="H18" s="256">
        <f t="shared" si="31"/>
        <v>5</v>
      </c>
      <c r="I18" s="256">
        <f t="shared" si="31"/>
        <v>4.9369482120735206</v>
      </c>
      <c r="J18" s="256">
        <f t="shared" si="31"/>
        <v>2.4624198465258069</v>
      </c>
      <c r="K18" s="256">
        <f t="shared" si="31"/>
        <v>4.166666666666667</v>
      </c>
      <c r="L18" s="256">
        <f t="shared" si="31"/>
        <v>4.5797937213819138</v>
      </c>
      <c r="M18" s="256">
        <f t="shared" si="31"/>
        <v>10</v>
      </c>
      <c r="N18" s="256">
        <f t="shared" si="31"/>
        <v>5</v>
      </c>
      <c r="O18" s="256">
        <f t="shared" si="31"/>
        <v>4.583333333333333</v>
      </c>
      <c r="P18" s="256">
        <f t="shared" si="31"/>
        <v>5</v>
      </c>
      <c r="Q18" s="256">
        <f t="shared" si="31"/>
        <v>2.6475</v>
      </c>
      <c r="R18" s="256">
        <f t="shared" si="31"/>
        <v>4.9835000000000003</v>
      </c>
      <c r="S18" s="256">
        <f t="shared" si="31"/>
        <v>5</v>
      </c>
      <c r="T18" s="256">
        <f t="shared" si="31"/>
        <v>5</v>
      </c>
      <c r="U18" s="256">
        <f t="shared" si="31"/>
        <v>5</v>
      </c>
      <c r="V18" s="290">
        <f>V17/12</f>
        <v>90.025244945772627</v>
      </c>
      <c r="W18" s="288"/>
    </row>
    <row r="19" spans="1:23" ht="31.5" customHeight="1" x14ac:dyDescent="0.25">
      <c r="A19" s="13"/>
      <c r="B19" s="13"/>
      <c r="C19" s="13"/>
      <c r="D19" s="13"/>
      <c r="E19" s="13"/>
      <c r="F19" s="13"/>
    </row>
    <row r="20" spans="1:23" ht="15.75" customHeight="1" x14ac:dyDescent="0.3">
      <c r="A20" s="387" t="s">
        <v>223</v>
      </c>
      <c r="B20" s="13"/>
      <c r="C20" s="13"/>
      <c r="D20" s="13"/>
      <c r="E20" s="13"/>
      <c r="F20" s="13"/>
    </row>
    <row r="21" spans="1:23" s="15" customFormat="1" ht="18.75" x14ac:dyDescent="0.3">
      <c r="A21" s="498" t="s">
        <v>224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</row>
    <row r="22" spans="1:23" s="15" customFormat="1" x14ac:dyDescent="0.25">
      <c r="A22" s="389"/>
      <c r="B22" s="390"/>
      <c r="C22" s="391"/>
    </row>
    <row r="23" spans="1:23" x14ac:dyDescent="0.25">
      <c r="A23" s="13"/>
      <c r="B23" s="13"/>
      <c r="C23" s="13"/>
      <c r="D23" s="13"/>
      <c r="E23" s="13"/>
      <c r="F23" s="13"/>
    </row>
    <row r="24" spans="1:23" s="15" customFormat="1" x14ac:dyDescent="0.25">
      <c r="A24" s="39"/>
      <c r="B24" s="39"/>
      <c r="C24" s="13"/>
      <c r="D24" s="24"/>
      <c r="E24" s="24"/>
      <c r="F24" s="13"/>
    </row>
  </sheetData>
  <mergeCells count="13">
    <mergeCell ref="V3:V4"/>
    <mergeCell ref="A1:W1"/>
    <mergeCell ref="W3:W4"/>
    <mergeCell ref="A21:W21"/>
    <mergeCell ref="A22:C22"/>
    <mergeCell ref="A3:A4"/>
    <mergeCell ref="B3:B4"/>
    <mergeCell ref="C3:C4"/>
    <mergeCell ref="D3:D4"/>
    <mergeCell ref="E3:U3"/>
    <mergeCell ref="A17:D17"/>
    <mergeCell ref="A18:D18"/>
    <mergeCell ref="A2:W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T24"/>
  <sheetViews>
    <sheetView view="pageBreakPreview" zoomScale="68" zoomScaleNormal="100" zoomScaleSheetLayoutView="68" workbookViewId="0">
      <pane xSplit="4" topLeftCell="E1" activePane="topRight" state="frozen"/>
      <selection pane="topRight" activeCell="AQ7" sqref="AQ7"/>
    </sheetView>
  </sheetViews>
  <sheetFormatPr defaultRowHeight="15" x14ac:dyDescent="0.25"/>
  <cols>
    <col min="1" max="1" width="4.28515625" style="331" customWidth="1"/>
    <col min="2" max="2" width="6.7109375" style="331" customWidth="1"/>
    <col min="3" max="3" width="13.28515625" style="331" customWidth="1"/>
    <col min="4" max="4" width="29.5703125" style="331" customWidth="1"/>
    <col min="5" max="5" width="16.85546875" style="331" customWidth="1"/>
    <col min="6" max="6" width="16.5703125" style="331" customWidth="1"/>
    <col min="7" max="7" width="13.5703125" style="331" customWidth="1"/>
    <col min="8" max="8" width="17" style="331" customWidth="1"/>
    <col min="9" max="9" width="16.85546875" style="331" customWidth="1"/>
    <col min="10" max="10" width="15" style="331" customWidth="1"/>
    <col min="11" max="11" width="16.85546875" style="331" customWidth="1"/>
    <col min="12" max="12" width="17.42578125" style="331" customWidth="1"/>
    <col min="13" max="13" width="14.42578125" style="331" customWidth="1"/>
    <col min="14" max="14" width="17" style="331" customWidth="1"/>
    <col min="15" max="15" width="17.7109375" style="331" customWidth="1"/>
    <col min="16" max="16" width="15.5703125" style="331" customWidth="1"/>
    <col min="17" max="17" width="17" style="331" customWidth="1"/>
    <col min="18" max="18" width="17.5703125" style="331" customWidth="1"/>
    <col min="19" max="19" width="16.5703125" style="331" customWidth="1"/>
    <col min="20" max="20" width="16.85546875" style="331" customWidth="1"/>
    <col min="21" max="21" width="17.5703125" style="331" customWidth="1"/>
    <col min="22" max="22" width="16" style="331" customWidth="1"/>
    <col min="23" max="23" width="16.85546875" style="331" customWidth="1"/>
    <col min="24" max="24" width="17" style="331" customWidth="1"/>
    <col min="25" max="25" width="16.42578125" style="331" customWidth="1"/>
    <col min="26" max="26" width="16.85546875" style="331" customWidth="1"/>
    <col min="27" max="27" width="17.85546875" style="331" customWidth="1"/>
    <col min="28" max="28" width="16.5703125" style="331" customWidth="1"/>
    <col min="29" max="29" width="17" style="331" customWidth="1"/>
    <col min="30" max="30" width="16.85546875" style="331" customWidth="1"/>
    <col min="31" max="31" width="15.85546875" style="331" customWidth="1"/>
    <col min="32" max="32" width="18" style="331" customWidth="1"/>
    <col min="33" max="33" width="17.42578125" style="331" customWidth="1"/>
    <col min="34" max="34" width="16" style="331" customWidth="1"/>
    <col min="35" max="35" width="17.7109375" style="331" customWidth="1"/>
    <col min="36" max="38" width="16.85546875" style="331" customWidth="1"/>
    <col min="39" max="39" width="17" style="331" customWidth="1"/>
    <col min="40" max="40" width="16.140625" style="331" customWidth="1"/>
    <col min="41" max="41" width="17.5703125" style="331" customWidth="1"/>
    <col min="42" max="42" width="27.5703125" style="331" customWidth="1"/>
    <col min="43" max="43" width="14" style="331" customWidth="1"/>
    <col min="44" max="44" width="9.140625" style="331"/>
    <col min="45" max="45" width="21" style="331" customWidth="1"/>
    <col min="46" max="46" width="19.140625" style="331" customWidth="1"/>
    <col min="47" max="16384" width="9.140625" style="331"/>
  </cols>
  <sheetData>
    <row r="2" spans="1:46" x14ac:dyDescent="0.25">
      <c r="A2" s="401" t="s">
        <v>215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</row>
    <row r="3" spans="1:46" ht="16.149999999999999" thickBot="1" x14ac:dyDescent="0.35">
      <c r="A3" s="13"/>
      <c r="B3" s="13"/>
      <c r="C3" s="13"/>
      <c r="D3" s="332"/>
      <c r="E3" s="394"/>
      <c r="F3" s="394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13"/>
      <c r="AP3" s="13"/>
      <c r="AQ3" s="13"/>
    </row>
    <row r="4" spans="1:46" ht="31.9" customHeight="1" thickBot="1" x14ac:dyDescent="0.3">
      <c r="A4" s="415" t="s">
        <v>0</v>
      </c>
      <c r="B4" s="410" t="s">
        <v>107</v>
      </c>
      <c r="C4" s="410" t="s">
        <v>1</v>
      </c>
      <c r="D4" s="410" t="s">
        <v>2</v>
      </c>
      <c r="E4" s="430" t="s">
        <v>214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237"/>
      <c r="AO4" s="433" t="s">
        <v>79</v>
      </c>
      <c r="AP4" s="428" t="s">
        <v>72</v>
      </c>
      <c r="AQ4" s="403" t="s">
        <v>57</v>
      </c>
    </row>
    <row r="5" spans="1:46" ht="31.9" customHeight="1" thickBot="1" x14ac:dyDescent="0.3">
      <c r="A5" s="416"/>
      <c r="B5" s="413"/>
      <c r="C5" s="413"/>
      <c r="D5" s="411"/>
      <c r="E5" s="418" t="s">
        <v>150</v>
      </c>
      <c r="F5" s="419"/>
      <c r="G5" s="420"/>
      <c r="H5" s="421" t="s">
        <v>151</v>
      </c>
      <c r="I5" s="419"/>
      <c r="J5" s="420"/>
      <c r="K5" s="421" t="s">
        <v>152</v>
      </c>
      <c r="L5" s="419"/>
      <c r="M5" s="420"/>
      <c r="N5" s="421" t="s">
        <v>153</v>
      </c>
      <c r="O5" s="419"/>
      <c r="P5" s="420"/>
      <c r="Q5" s="421" t="s">
        <v>154</v>
      </c>
      <c r="R5" s="419"/>
      <c r="S5" s="420"/>
      <c r="T5" s="421" t="s">
        <v>155</v>
      </c>
      <c r="U5" s="419"/>
      <c r="V5" s="420"/>
      <c r="W5" s="421" t="s">
        <v>156</v>
      </c>
      <c r="X5" s="419"/>
      <c r="Y5" s="420"/>
      <c r="Z5" s="421" t="s">
        <v>157</v>
      </c>
      <c r="AA5" s="419"/>
      <c r="AB5" s="420"/>
      <c r="AC5" s="421" t="s">
        <v>158</v>
      </c>
      <c r="AD5" s="419"/>
      <c r="AE5" s="420"/>
      <c r="AF5" s="421" t="s">
        <v>186</v>
      </c>
      <c r="AG5" s="419"/>
      <c r="AH5" s="420"/>
      <c r="AI5" s="421" t="s">
        <v>159</v>
      </c>
      <c r="AJ5" s="419"/>
      <c r="AK5" s="419"/>
      <c r="AL5" s="418" t="s">
        <v>160</v>
      </c>
      <c r="AM5" s="419"/>
      <c r="AN5" s="432"/>
      <c r="AO5" s="434"/>
      <c r="AP5" s="429"/>
      <c r="AQ5" s="404"/>
    </row>
    <row r="6" spans="1:46" ht="76.5" customHeight="1" thickBot="1" x14ac:dyDescent="0.3">
      <c r="A6" s="417"/>
      <c r="B6" s="414"/>
      <c r="C6" s="414"/>
      <c r="D6" s="412"/>
      <c r="E6" s="164" t="s">
        <v>93</v>
      </c>
      <c r="F6" s="165" t="s">
        <v>94</v>
      </c>
      <c r="G6" s="165"/>
      <c r="H6" s="165" t="s">
        <v>93</v>
      </c>
      <c r="I6" s="165" t="s">
        <v>94</v>
      </c>
      <c r="J6" s="165"/>
      <c r="K6" s="165" t="s">
        <v>93</v>
      </c>
      <c r="L6" s="165" t="s">
        <v>94</v>
      </c>
      <c r="M6" s="165"/>
      <c r="N6" s="165" t="s">
        <v>93</v>
      </c>
      <c r="O6" s="165" t="s">
        <v>94</v>
      </c>
      <c r="P6" s="165"/>
      <c r="Q6" s="165" t="s">
        <v>93</v>
      </c>
      <c r="R6" s="165" t="s">
        <v>94</v>
      </c>
      <c r="S6" s="165"/>
      <c r="T6" s="165" t="s">
        <v>93</v>
      </c>
      <c r="U6" s="165" t="s">
        <v>94</v>
      </c>
      <c r="V6" s="165"/>
      <c r="W6" s="165" t="s">
        <v>93</v>
      </c>
      <c r="X6" s="165" t="s">
        <v>94</v>
      </c>
      <c r="Y6" s="165"/>
      <c r="Z6" s="165" t="s">
        <v>93</v>
      </c>
      <c r="AA6" s="165" t="s">
        <v>94</v>
      </c>
      <c r="AB6" s="165"/>
      <c r="AC6" s="165" t="s">
        <v>93</v>
      </c>
      <c r="AD6" s="165" t="s">
        <v>94</v>
      </c>
      <c r="AE6" s="165"/>
      <c r="AF6" s="165" t="s">
        <v>93</v>
      </c>
      <c r="AG6" s="165" t="s">
        <v>94</v>
      </c>
      <c r="AH6" s="165"/>
      <c r="AI6" s="165" t="s">
        <v>93</v>
      </c>
      <c r="AJ6" s="165" t="s">
        <v>94</v>
      </c>
      <c r="AK6" s="165"/>
      <c r="AL6" s="165" t="s">
        <v>93</v>
      </c>
      <c r="AM6" s="333" t="s">
        <v>94</v>
      </c>
      <c r="AN6" s="334"/>
      <c r="AO6" s="335" t="s">
        <v>161</v>
      </c>
      <c r="AP6" s="336" t="s">
        <v>162</v>
      </c>
      <c r="AQ6" s="405"/>
    </row>
    <row r="7" spans="1:46" ht="31.15" customHeight="1" thickBot="1" x14ac:dyDescent="0.3">
      <c r="A7" s="179" t="s">
        <v>8</v>
      </c>
      <c r="B7" s="180" t="s">
        <v>9</v>
      </c>
      <c r="C7" s="249" t="s">
        <v>10</v>
      </c>
      <c r="D7" s="251" t="s">
        <v>11</v>
      </c>
      <c r="E7" s="337">
        <v>135100</v>
      </c>
      <c r="F7" s="338">
        <v>86000</v>
      </c>
      <c r="G7" s="339">
        <f>F7/E7</f>
        <v>0.63656550703182824</v>
      </c>
      <c r="H7" s="340">
        <v>385000</v>
      </c>
      <c r="I7" s="341">
        <v>315091.8</v>
      </c>
      <c r="J7" s="339">
        <f>I7/H7</f>
        <v>0.81842025974025967</v>
      </c>
      <c r="K7" s="340">
        <v>585000</v>
      </c>
      <c r="L7" s="341">
        <v>555464.65</v>
      </c>
      <c r="M7" s="339">
        <f t="shared" ref="M7:M18" si="0">L7/K7</f>
        <v>0.94951222222222231</v>
      </c>
      <c r="N7" s="340">
        <v>522175</v>
      </c>
      <c r="O7" s="341">
        <v>474744.77</v>
      </c>
      <c r="P7" s="339">
        <f t="shared" ref="P7:P17" si="1">O7/N7</f>
        <v>0.90916794178196969</v>
      </c>
      <c r="Q7" s="340">
        <v>419800</v>
      </c>
      <c r="R7" s="341">
        <v>418325.63</v>
      </c>
      <c r="S7" s="339">
        <f t="shared" ref="S7:S18" si="2">R7/Q7</f>
        <v>0.99648792282039067</v>
      </c>
      <c r="T7" s="340">
        <v>419800</v>
      </c>
      <c r="U7" s="341">
        <v>418088.92</v>
      </c>
      <c r="V7" s="339">
        <f t="shared" ref="V7:V15" si="3">U7/T7</f>
        <v>0.99592405907575032</v>
      </c>
      <c r="W7" s="340">
        <v>522175</v>
      </c>
      <c r="X7" s="341">
        <v>480666.59</v>
      </c>
      <c r="Y7" s="339">
        <f t="shared" ref="Y7:Y18" si="4">X7/W7</f>
        <v>0.92050862258821287</v>
      </c>
      <c r="Z7" s="340">
        <v>419800</v>
      </c>
      <c r="AA7" s="341">
        <v>422399.94</v>
      </c>
      <c r="AB7" s="339">
        <v>1</v>
      </c>
      <c r="AC7" s="340">
        <v>419800</v>
      </c>
      <c r="AD7" s="341">
        <v>557938.72</v>
      </c>
      <c r="AE7" s="339">
        <v>1</v>
      </c>
      <c r="AF7" s="340">
        <v>524990</v>
      </c>
      <c r="AG7" s="341">
        <v>443396.8</v>
      </c>
      <c r="AH7" s="339">
        <f t="shared" ref="AH7:AH18" si="5">AG7/AF7</f>
        <v>0.84458142059848762</v>
      </c>
      <c r="AI7" s="340">
        <v>422800</v>
      </c>
      <c r="AJ7" s="341">
        <v>323924.39</v>
      </c>
      <c r="AK7" s="339">
        <f t="shared" ref="AK7:AK18" si="6">AJ7/AI7</f>
        <v>0.76614094134342481</v>
      </c>
      <c r="AL7" s="340">
        <v>437960</v>
      </c>
      <c r="AM7" s="341">
        <v>718272.55</v>
      </c>
      <c r="AN7" s="339">
        <v>1</v>
      </c>
      <c r="AO7" s="342">
        <f>((G7+J7+M7+P7+S7+V7+AB7+AE7+AH7+AK7+AN7)/12)*100</f>
        <v>82.640002288452777</v>
      </c>
      <c r="AP7" s="343">
        <f>AO7/100</f>
        <v>0.82640002288452774</v>
      </c>
      <c r="AQ7" s="344">
        <f>AP7*5</f>
        <v>4.132000114422639</v>
      </c>
      <c r="AS7" s="345">
        <f>E7+H7+K7+N7+Q7+T7+W7+Z7+AC7+AF7+AI7+AL7</f>
        <v>5214400</v>
      </c>
      <c r="AT7" s="345">
        <f>F7+I7+L7+O7+R7+U7+X7+AA7+AD7+AG7+AJ7+AM7</f>
        <v>5214314.7599999988</v>
      </c>
    </row>
    <row r="8" spans="1:46" ht="26.25" thickBot="1" x14ac:dyDescent="0.3">
      <c r="A8" s="181" t="s">
        <v>15</v>
      </c>
      <c r="B8" s="182" t="s">
        <v>12</v>
      </c>
      <c r="C8" s="250" t="s">
        <v>13</v>
      </c>
      <c r="D8" s="252" t="s">
        <v>14</v>
      </c>
      <c r="E8" s="337">
        <f>60190886.8+3066700</f>
        <v>63257586.799999997</v>
      </c>
      <c r="F8" s="346">
        <v>11660803.970000001</v>
      </c>
      <c r="G8" s="339">
        <f t="shared" ref="G8:G18" si="7">F8/E8</f>
        <v>0.18433842579021686</v>
      </c>
      <c r="H8" s="340">
        <f>20539711.8+2131037</f>
        <v>22670748.800000001</v>
      </c>
      <c r="I8" s="341">
        <v>38822702.079999998</v>
      </c>
      <c r="J8" s="339">
        <v>1</v>
      </c>
      <c r="K8" s="340">
        <v>110948109.12</v>
      </c>
      <c r="L8" s="341">
        <v>96239733.25</v>
      </c>
      <c r="M8" s="339">
        <f t="shared" si="0"/>
        <v>0.86743013480210263</v>
      </c>
      <c r="N8" s="340">
        <v>41087969.530000001</v>
      </c>
      <c r="O8" s="341">
        <v>42542974.170000002</v>
      </c>
      <c r="P8" s="339">
        <v>1</v>
      </c>
      <c r="Q8" s="340">
        <v>64543003.399999999</v>
      </c>
      <c r="R8" s="341">
        <v>32487605.780000001</v>
      </c>
      <c r="S8" s="339">
        <f t="shared" si="2"/>
        <v>0.50334821853053091</v>
      </c>
      <c r="T8" s="340">
        <v>105922031.59999999</v>
      </c>
      <c r="U8" s="341">
        <v>126838863.7</v>
      </c>
      <c r="V8" s="339">
        <v>1</v>
      </c>
      <c r="W8" s="340">
        <f>81511466.98+109680</f>
        <v>81621146.980000004</v>
      </c>
      <c r="X8" s="341">
        <v>48127474.369999997</v>
      </c>
      <c r="Y8" s="339">
        <f t="shared" si="4"/>
        <v>0.58964467115112817</v>
      </c>
      <c r="Z8" s="340">
        <v>88756280.129999995</v>
      </c>
      <c r="AA8" s="341">
        <v>95743710.790000007</v>
      </c>
      <c r="AB8" s="339">
        <v>1</v>
      </c>
      <c r="AC8" s="340">
        <v>28228279.219999999</v>
      </c>
      <c r="AD8" s="341">
        <v>28887649.649999999</v>
      </c>
      <c r="AE8" s="339">
        <v>1</v>
      </c>
      <c r="AF8" s="340">
        <v>102750160</v>
      </c>
      <c r="AG8" s="341">
        <v>76144416.269999996</v>
      </c>
      <c r="AH8" s="339">
        <f t="shared" si="5"/>
        <v>0.7410637245723023</v>
      </c>
      <c r="AI8" s="340">
        <v>145727591</v>
      </c>
      <c r="AJ8" s="341">
        <v>133511216.39</v>
      </c>
      <c r="AK8" s="339">
        <f t="shared" si="6"/>
        <v>0.91616978963166973</v>
      </c>
      <c r="AL8" s="340">
        <f>236706748.42+91383</f>
        <v>236798131.41999999</v>
      </c>
      <c r="AM8" s="341">
        <v>312669619.81999999</v>
      </c>
      <c r="AN8" s="339">
        <v>1</v>
      </c>
      <c r="AO8" s="342">
        <f t="shared" ref="AO8:AO18" si="8">((G8+J8+M8+P8+S8+V8+AB8+AE8+AH8+AK8+AN8)/12)*100</f>
        <v>76.76958577772352</v>
      </c>
      <c r="AP8" s="343">
        <f t="shared" ref="AP8:AP18" si="9">AO8/100</f>
        <v>0.76769585777723526</v>
      </c>
      <c r="AQ8" s="347">
        <f>AP8*5</f>
        <v>3.8384792888861763</v>
      </c>
      <c r="AS8" s="345">
        <f>E8+H8+K8+N8+Q8+T8+W8+Z8+AC8+AF8+AI8+AL8</f>
        <v>1092311038</v>
      </c>
      <c r="AT8" s="345">
        <f t="shared" ref="AT8:AT19" si="10">F8+I8+L8+O8+R8+U8+X8+AA8+AD8+AG8+AJ8+AM8</f>
        <v>1043676770.24</v>
      </c>
    </row>
    <row r="9" spans="1:46" ht="26.25" thickBot="1" x14ac:dyDescent="0.3">
      <c r="A9" s="181" t="s">
        <v>16</v>
      </c>
      <c r="B9" s="182" t="s">
        <v>22</v>
      </c>
      <c r="C9" s="250" t="s">
        <v>23</v>
      </c>
      <c r="D9" s="252" t="s">
        <v>24</v>
      </c>
      <c r="E9" s="348">
        <v>2135054</v>
      </c>
      <c r="F9" s="349">
        <v>2114978.1</v>
      </c>
      <c r="G9" s="339">
        <f t="shared" si="7"/>
        <v>0.99059700597736644</v>
      </c>
      <c r="H9" s="350">
        <v>1345693</v>
      </c>
      <c r="I9" s="351">
        <v>1348192.7</v>
      </c>
      <c r="J9" s="339">
        <f t="shared" ref="J9:J18" si="11">I9/H9</f>
        <v>1.0018575559210012</v>
      </c>
      <c r="K9" s="350">
        <v>2274973</v>
      </c>
      <c r="L9" s="351">
        <v>2260349.5299999998</v>
      </c>
      <c r="M9" s="339">
        <f t="shared" si="0"/>
        <v>0.99357202481084383</v>
      </c>
      <c r="N9" s="350">
        <v>3051778</v>
      </c>
      <c r="O9" s="351">
        <v>3105736.56</v>
      </c>
      <c r="P9" s="339">
        <v>1</v>
      </c>
      <c r="Q9" s="350">
        <v>1769228</v>
      </c>
      <c r="R9" s="351">
        <v>1663233.08</v>
      </c>
      <c r="S9" s="339">
        <f t="shared" si="2"/>
        <v>0.94008973405349683</v>
      </c>
      <c r="T9" s="350">
        <v>1912025</v>
      </c>
      <c r="U9" s="351">
        <v>1959206.87</v>
      </c>
      <c r="V9" s="339">
        <v>1</v>
      </c>
      <c r="W9" s="350">
        <v>3093795</v>
      </c>
      <c r="X9" s="351">
        <v>3240428.84</v>
      </c>
      <c r="Y9" s="339">
        <v>1</v>
      </c>
      <c r="Z9" s="350">
        <v>1948245</v>
      </c>
      <c r="AA9" s="351">
        <v>2009119.85</v>
      </c>
      <c r="AB9" s="339">
        <v>1</v>
      </c>
      <c r="AC9" s="350">
        <v>1825044</v>
      </c>
      <c r="AD9" s="351">
        <v>1613680.82</v>
      </c>
      <c r="AE9" s="339">
        <f t="shared" ref="AE9:AE18" si="12">AD9/AC9</f>
        <v>0.88418735109948032</v>
      </c>
      <c r="AF9" s="350">
        <v>3330988</v>
      </c>
      <c r="AG9" s="351">
        <v>2883616.72</v>
      </c>
      <c r="AH9" s="339">
        <f t="shared" si="5"/>
        <v>0.86569411838169341</v>
      </c>
      <c r="AI9" s="350">
        <v>2127178</v>
      </c>
      <c r="AJ9" s="351">
        <v>1851407.71</v>
      </c>
      <c r="AK9" s="339">
        <f t="shared" si="6"/>
        <v>0.87035862067020242</v>
      </c>
      <c r="AL9" s="350">
        <v>2270299</v>
      </c>
      <c r="AM9" s="351">
        <v>3034246.82</v>
      </c>
      <c r="AN9" s="339">
        <v>1</v>
      </c>
      <c r="AO9" s="342">
        <f t="shared" si="8"/>
        <v>87.886303424284037</v>
      </c>
      <c r="AP9" s="343">
        <f t="shared" si="9"/>
        <v>0.8788630342428404</v>
      </c>
      <c r="AQ9" s="347">
        <f t="shared" ref="AQ9:AQ18" si="13">AP9*5</f>
        <v>4.3943151712142017</v>
      </c>
      <c r="AS9" s="345">
        <f t="shared" ref="AS9:AS18" si="14">E9+H9+K9+N9+Q9+T9+W9+Z9+AC9+AF9+AI9+AL9</f>
        <v>27084300</v>
      </c>
      <c r="AT9" s="345">
        <f t="shared" si="10"/>
        <v>27084197.600000001</v>
      </c>
    </row>
    <row r="10" spans="1:46" ht="30" customHeight="1" thickBot="1" x14ac:dyDescent="0.3">
      <c r="A10" s="181" t="s">
        <v>17</v>
      </c>
      <c r="B10" s="182" t="s">
        <v>25</v>
      </c>
      <c r="C10" s="250" t="s">
        <v>26</v>
      </c>
      <c r="D10" s="252" t="s">
        <v>27</v>
      </c>
      <c r="E10" s="348">
        <v>911700</v>
      </c>
      <c r="F10" s="349">
        <v>187879</v>
      </c>
      <c r="G10" s="339">
        <f t="shared" si="7"/>
        <v>0.20607546341998464</v>
      </c>
      <c r="H10" s="350">
        <v>200600</v>
      </c>
      <c r="I10" s="351">
        <v>263869.75</v>
      </c>
      <c r="J10" s="339">
        <v>1</v>
      </c>
      <c r="K10" s="350">
        <v>294600</v>
      </c>
      <c r="L10" s="351">
        <v>399918.64</v>
      </c>
      <c r="M10" s="339">
        <v>1</v>
      </c>
      <c r="N10" s="350">
        <v>457400</v>
      </c>
      <c r="O10" s="351">
        <v>413760.2</v>
      </c>
      <c r="P10" s="339">
        <f t="shared" si="1"/>
        <v>0.90459160472234368</v>
      </c>
      <c r="Q10" s="350">
        <v>299100</v>
      </c>
      <c r="R10" s="351">
        <v>486688.91</v>
      </c>
      <c r="S10" s="339">
        <v>1</v>
      </c>
      <c r="T10" s="350">
        <v>242600</v>
      </c>
      <c r="U10" s="351">
        <v>336798.71</v>
      </c>
      <c r="V10" s="339">
        <v>1</v>
      </c>
      <c r="W10" s="350">
        <v>1085600</v>
      </c>
      <c r="X10" s="351">
        <v>339182.74</v>
      </c>
      <c r="Y10" s="339">
        <f t="shared" si="4"/>
        <v>0.31243804347826087</v>
      </c>
      <c r="Z10" s="350">
        <v>242600</v>
      </c>
      <c r="AA10" s="351">
        <v>536836.69999999995</v>
      </c>
      <c r="AB10" s="339">
        <v>1</v>
      </c>
      <c r="AC10" s="350">
        <v>242600</v>
      </c>
      <c r="AD10" s="351">
        <v>363098.01</v>
      </c>
      <c r="AE10" s="339">
        <v>1</v>
      </c>
      <c r="AF10" s="350">
        <v>192900</v>
      </c>
      <c r="AG10" s="351">
        <v>273569.48</v>
      </c>
      <c r="AH10" s="339">
        <v>1</v>
      </c>
      <c r="AI10" s="350">
        <v>258000</v>
      </c>
      <c r="AJ10" s="351">
        <v>347316.69</v>
      </c>
      <c r="AK10" s="339">
        <v>1</v>
      </c>
      <c r="AL10" s="350">
        <v>366600</v>
      </c>
      <c r="AM10" s="351">
        <v>845360.17</v>
      </c>
      <c r="AN10" s="339">
        <v>1</v>
      </c>
      <c r="AO10" s="342">
        <f t="shared" si="8"/>
        <v>84.255558901186063</v>
      </c>
      <c r="AP10" s="343">
        <f t="shared" si="9"/>
        <v>0.84255558901186067</v>
      </c>
      <c r="AQ10" s="347">
        <f t="shared" si="13"/>
        <v>4.2127779450593037</v>
      </c>
      <c r="AS10" s="345">
        <f t="shared" si="14"/>
        <v>4794300</v>
      </c>
      <c r="AT10" s="345">
        <f t="shared" si="10"/>
        <v>4794279</v>
      </c>
    </row>
    <row r="11" spans="1:46" ht="40.15" customHeight="1" thickBot="1" x14ac:dyDescent="0.3">
      <c r="A11" s="181" t="s">
        <v>18</v>
      </c>
      <c r="B11" s="182" t="s">
        <v>28</v>
      </c>
      <c r="C11" s="250" t="s">
        <v>29</v>
      </c>
      <c r="D11" s="252" t="s">
        <v>30</v>
      </c>
      <c r="E11" s="348">
        <v>648600</v>
      </c>
      <c r="F11" s="349">
        <v>266932.39</v>
      </c>
      <c r="G11" s="339">
        <f t="shared" si="7"/>
        <v>0.41155163428923836</v>
      </c>
      <c r="H11" s="350">
        <v>814600</v>
      </c>
      <c r="I11" s="351">
        <v>450028.13</v>
      </c>
      <c r="J11" s="339">
        <f t="shared" si="11"/>
        <v>0.55245289712742451</v>
      </c>
      <c r="K11" s="350">
        <v>598150</v>
      </c>
      <c r="L11" s="351">
        <v>612505.57999999996</v>
      </c>
      <c r="M11" s="339">
        <v>1</v>
      </c>
      <c r="N11" s="350">
        <v>536075</v>
      </c>
      <c r="O11" s="351">
        <v>828820.68</v>
      </c>
      <c r="P11" s="339">
        <v>1</v>
      </c>
      <c r="Q11" s="350">
        <v>506975</v>
      </c>
      <c r="R11" s="351">
        <v>602658.72</v>
      </c>
      <c r="S11" s="339">
        <v>1</v>
      </c>
      <c r="T11" s="350">
        <v>469000</v>
      </c>
      <c r="U11" s="351">
        <v>454748.17</v>
      </c>
      <c r="V11" s="339">
        <f t="shared" si="3"/>
        <v>0.96961230277185495</v>
      </c>
      <c r="W11" s="350">
        <v>1412350</v>
      </c>
      <c r="X11" s="351">
        <v>514319.75</v>
      </c>
      <c r="Y11" s="339">
        <f t="shared" si="4"/>
        <v>0.36415884872729848</v>
      </c>
      <c r="Z11" s="350">
        <v>469000</v>
      </c>
      <c r="AA11" s="351">
        <v>731712.59</v>
      </c>
      <c r="AB11" s="339">
        <v>1</v>
      </c>
      <c r="AC11" s="350">
        <v>470300</v>
      </c>
      <c r="AD11" s="351">
        <v>575869.24</v>
      </c>
      <c r="AE11" s="339">
        <v>1</v>
      </c>
      <c r="AF11" s="350">
        <v>520000</v>
      </c>
      <c r="AG11" s="351">
        <v>401863.53</v>
      </c>
      <c r="AH11" s="339">
        <f t="shared" si="5"/>
        <v>0.77281448076923087</v>
      </c>
      <c r="AI11" s="350">
        <v>502500</v>
      </c>
      <c r="AJ11" s="351">
        <v>634654.76</v>
      </c>
      <c r="AK11" s="339">
        <v>1</v>
      </c>
      <c r="AL11" s="350">
        <v>285750</v>
      </c>
      <c r="AM11" s="351">
        <v>1153698.81</v>
      </c>
      <c r="AN11" s="339">
        <v>1</v>
      </c>
      <c r="AO11" s="342">
        <f t="shared" si="8"/>
        <v>80.88692762464791</v>
      </c>
      <c r="AP11" s="343">
        <f t="shared" si="9"/>
        <v>0.80886927624647909</v>
      </c>
      <c r="AQ11" s="347">
        <f t="shared" si="13"/>
        <v>4.0443463812323959</v>
      </c>
      <c r="AS11" s="345">
        <f t="shared" si="14"/>
        <v>7233300</v>
      </c>
      <c r="AT11" s="345">
        <f t="shared" si="10"/>
        <v>7227812.3499999996</v>
      </c>
    </row>
    <row r="12" spans="1:46" ht="42" customHeight="1" thickBot="1" x14ac:dyDescent="0.3">
      <c r="A12" s="181" t="s">
        <v>19</v>
      </c>
      <c r="B12" s="182" t="s">
        <v>31</v>
      </c>
      <c r="C12" s="250" t="s">
        <v>32</v>
      </c>
      <c r="D12" s="252" t="s">
        <v>33</v>
      </c>
      <c r="E12" s="348">
        <v>140000</v>
      </c>
      <c r="F12" s="349">
        <v>104400</v>
      </c>
      <c r="G12" s="339">
        <f t="shared" si="7"/>
        <v>0.74571428571428566</v>
      </c>
      <c r="H12" s="350">
        <v>378050</v>
      </c>
      <c r="I12" s="351">
        <v>337994.1</v>
      </c>
      <c r="J12" s="339">
        <f t="shared" si="11"/>
        <v>0.89404602565798164</v>
      </c>
      <c r="K12" s="350">
        <v>477250</v>
      </c>
      <c r="L12" s="351">
        <v>546796.42000000004</v>
      </c>
      <c r="M12" s="339">
        <v>1</v>
      </c>
      <c r="N12" s="350">
        <v>425550</v>
      </c>
      <c r="O12" s="351">
        <v>403717.93</v>
      </c>
      <c r="P12" s="339">
        <f t="shared" si="1"/>
        <v>0.94869681588532484</v>
      </c>
      <c r="Q12" s="350">
        <v>407650</v>
      </c>
      <c r="R12" s="351">
        <v>378504</v>
      </c>
      <c r="S12" s="339">
        <f t="shared" si="2"/>
        <v>0.92850239175763527</v>
      </c>
      <c r="T12" s="350">
        <v>425550</v>
      </c>
      <c r="U12" s="351">
        <v>479453.92</v>
      </c>
      <c r="V12" s="339">
        <v>1</v>
      </c>
      <c r="W12" s="350">
        <v>475550</v>
      </c>
      <c r="X12" s="351">
        <v>459258.44</v>
      </c>
      <c r="Y12" s="339">
        <f t="shared" si="4"/>
        <v>0.96574164651456207</v>
      </c>
      <c r="Z12" s="350">
        <v>425500</v>
      </c>
      <c r="AA12" s="351">
        <v>419811.81</v>
      </c>
      <c r="AB12" s="339">
        <f t="shared" ref="AB12:AB16" si="15">AA12/Z12</f>
        <v>0.98663175088131605</v>
      </c>
      <c r="AC12" s="350">
        <v>425500</v>
      </c>
      <c r="AD12" s="351">
        <v>427648.51</v>
      </c>
      <c r="AE12" s="339">
        <v>1</v>
      </c>
      <c r="AF12" s="350">
        <v>420660</v>
      </c>
      <c r="AG12" s="351">
        <v>364825.19</v>
      </c>
      <c r="AH12" s="339">
        <f t="shared" si="5"/>
        <v>0.86726855417676985</v>
      </c>
      <c r="AI12" s="350">
        <v>457660</v>
      </c>
      <c r="AJ12" s="351">
        <v>489299.63</v>
      </c>
      <c r="AK12" s="339">
        <v>1</v>
      </c>
      <c r="AL12" s="350">
        <v>841580</v>
      </c>
      <c r="AM12" s="351">
        <v>888740.05</v>
      </c>
      <c r="AN12" s="339">
        <v>1</v>
      </c>
      <c r="AO12" s="342">
        <f t="shared" si="8"/>
        <v>86.423831867277613</v>
      </c>
      <c r="AP12" s="343">
        <f t="shared" si="9"/>
        <v>0.86423831867277612</v>
      </c>
      <c r="AQ12" s="347">
        <f t="shared" si="13"/>
        <v>4.3211915933638805</v>
      </c>
      <c r="AS12" s="345">
        <f t="shared" si="14"/>
        <v>5300500</v>
      </c>
      <c r="AT12" s="345">
        <f t="shared" si="10"/>
        <v>5300450</v>
      </c>
    </row>
    <row r="13" spans="1:46" ht="16.5" thickBot="1" x14ac:dyDescent="0.3">
      <c r="A13" s="181" t="s">
        <v>20</v>
      </c>
      <c r="B13" s="182" t="s">
        <v>34</v>
      </c>
      <c r="C13" s="250" t="s">
        <v>35</v>
      </c>
      <c r="D13" s="252" t="s">
        <v>36</v>
      </c>
      <c r="E13" s="348">
        <v>16984770</v>
      </c>
      <c r="F13" s="349">
        <v>524156.84</v>
      </c>
      <c r="G13" s="339">
        <f t="shared" si="7"/>
        <v>3.0860402584197491E-2</v>
      </c>
      <c r="H13" s="350">
        <v>17466153</v>
      </c>
      <c r="I13" s="351">
        <v>11923864.85</v>
      </c>
      <c r="J13" s="339">
        <f t="shared" si="11"/>
        <v>0.68268409477461922</v>
      </c>
      <c r="K13" s="350">
        <v>36739400</v>
      </c>
      <c r="L13" s="351">
        <v>1549817.84</v>
      </c>
      <c r="M13" s="339">
        <f t="shared" si="0"/>
        <v>4.2184081394905745E-2</v>
      </c>
      <c r="N13" s="350">
        <v>18514120</v>
      </c>
      <c r="O13" s="351">
        <v>11577617.43</v>
      </c>
      <c r="P13" s="339">
        <f t="shared" si="1"/>
        <v>0.62533987194638474</v>
      </c>
      <c r="Q13" s="350">
        <v>7280827.3600000003</v>
      </c>
      <c r="R13" s="351">
        <v>13984566.890000001</v>
      </c>
      <c r="S13" s="339">
        <v>1</v>
      </c>
      <c r="T13" s="350">
        <v>11309300</v>
      </c>
      <c r="U13" s="351">
        <v>3075238.3</v>
      </c>
      <c r="V13" s="339">
        <f t="shared" si="3"/>
        <v>0.2719211887561564</v>
      </c>
      <c r="W13" s="350">
        <v>39207352.079999998</v>
      </c>
      <c r="X13" s="351">
        <v>50208651.909999996</v>
      </c>
      <c r="Y13" s="339">
        <v>1</v>
      </c>
      <c r="Z13" s="350">
        <v>9703467</v>
      </c>
      <c r="AA13" s="351">
        <v>5416487.6500000004</v>
      </c>
      <c r="AB13" s="339">
        <f t="shared" si="15"/>
        <v>0.55820127486392235</v>
      </c>
      <c r="AC13" s="350">
        <v>10057960.6</v>
      </c>
      <c r="AD13" s="351">
        <v>10103114.460000001</v>
      </c>
      <c r="AE13" s="339">
        <f t="shared" si="12"/>
        <v>1.0044893653689597</v>
      </c>
      <c r="AF13" s="350">
        <v>44587616.350000001</v>
      </c>
      <c r="AG13" s="351">
        <v>16153506.6</v>
      </c>
      <c r="AH13" s="339">
        <f t="shared" si="5"/>
        <v>0.36228683931429762</v>
      </c>
      <c r="AI13" s="350">
        <v>40203433.609999999</v>
      </c>
      <c r="AJ13" s="351">
        <v>37022620.409999996</v>
      </c>
      <c r="AK13" s="339">
        <f t="shared" si="6"/>
        <v>0.92088205124825895</v>
      </c>
      <c r="AL13" s="350">
        <v>10126600</v>
      </c>
      <c r="AM13" s="351">
        <v>54132070.810000002</v>
      </c>
      <c r="AN13" s="339">
        <v>1</v>
      </c>
      <c r="AO13" s="342">
        <f t="shared" si="8"/>
        <v>54.157076418764184</v>
      </c>
      <c r="AP13" s="343">
        <v>0</v>
      </c>
      <c r="AQ13" s="347">
        <f t="shared" si="13"/>
        <v>0</v>
      </c>
      <c r="AS13" s="345">
        <f t="shared" si="14"/>
        <v>262181000</v>
      </c>
      <c r="AT13" s="345">
        <f t="shared" si="10"/>
        <v>215671713.99000001</v>
      </c>
    </row>
    <row r="14" spans="1:46" ht="29.25" customHeight="1" thickBot="1" x14ac:dyDescent="0.3">
      <c r="A14" s="181" t="s">
        <v>21</v>
      </c>
      <c r="B14" s="182" t="s">
        <v>40</v>
      </c>
      <c r="C14" s="250" t="s">
        <v>38</v>
      </c>
      <c r="D14" s="252" t="s">
        <v>39</v>
      </c>
      <c r="E14" s="348">
        <f>118032380+4070000</f>
        <v>122102380</v>
      </c>
      <c r="F14" s="349">
        <v>48381784.229999997</v>
      </c>
      <c r="G14" s="339">
        <f t="shared" si="7"/>
        <v>0.39623948550388616</v>
      </c>
      <c r="H14" s="350">
        <f>149964122+20248822.5</f>
        <v>170212944.5</v>
      </c>
      <c r="I14" s="351">
        <v>174699378.25999999</v>
      </c>
      <c r="J14" s="339">
        <v>1</v>
      </c>
      <c r="K14" s="350">
        <f>204910748+105540446.47</f>
        <v>310451194.47000003</v>
      </c>
      <c r="L14" s="351">
        <v>167043740.09</v>
      </c>
      <c r="M14" s="339">
        <f t="shared" si="0"/>
        <v>0.53806763531760871</v>
      </c>
      <c r="N14" s="350">
        <f>200409259.5+9240000</f>
        <v>209649259.5</v>
      </c>
      <c r="O14" s="351">
        <v>265969284.75999999</v>
      </c>
      <c r="P14" s="339">
        <v>1</v>
      </c>
      <c r="Q14" s="350">
        <f>167281705.01+6600000</f>
        <v>173881705.00999999</v>
      </c>
      <c r="R14" s="351">
        <v>115267446.01000001</v>
      </c>
      <c r="S14" s="339">
        <f t="shared" si="2"/>
        <v>0.66290726792316035</v>
      </c>
      <c r="T14" s="350">
        <f>225177640+1800000</f>
        <v>226977640</v>
      </c>
      <c r="U14" s="351">
        <v>263328773.16999999</v>
      </c>
      <c r="V14" s="339">
        <v>1</v>
      </c>
      <c r="W14" s="350">
        <f>158497230.32+1700000</f>
        <v>160197230.31999999</v>
      </c>
      <c r="X14" s="351">
        <v>205195104.16999999</v>
      </c>
      <c r="Y14" s="339">
        <v>1</v>
      </c>
      <c r="Z14" s="350">
        <f>170277200.31+1600000</f>
        <v>171877200.31</v>
      </c>
      <c r="AA14" s="351">
        <v>139123019.24000001</v>
      </c>
      <c r="AB14" s="339">
        <f t="shared" si="15"/>
        <v>0.809432658834772</v>
      </c>
      <c r="AC14" s="350">
        <f>209339894.03+14446732.29</f>
        <v>223786626.31999999</v>
      </c>
      <c r="AD14" s="351">
        <v>164753373.94</v>
      </c>
      <c r="AE14" s="339">
        <f t="shared" si="12"/>
        <v>0.73620741618586993</v>
      </c>
      <c r="AF14" s="350">
        <f>178998019.66+12787376.91</f>
        <v>191785396.56999999</v>
      </c>
      <c r="AG14" s="351">
        <v>175566359.66</v>
      </c>
      <c r="AH14" s="339">
        <f t="shared" si="5"/>
        <v>0.91543132480329292</v>
      </c>
      <c r="AI14" s="350">
        <f>48115270.43+9467099.23</f>
        <v>57582369.659999996</v>
      </c>
      <c r="AJ14" s="351">
        <v>180341045.66</v>
      </c>
      <c r="AK14" s="339">
        <v>1</v>
      </c>
      <c r="AL14" s="350">
        <f>135919160.24+37007622.6</f>
        <v>172926782.84</v>
      </c>
      <c r="AM14" s="351">
        <v>237695678.75</v>
      </c>
      <c r="AN14" s="339">
        <v>1</v>
      </c>
      <c r="AO14" s="342">
        <f t="shared" si="8"/>
        <v>75.485714904738245</v>
      </c>
      <c r="AP14" s="343">
        <f t="shared" si="9"/>
        <v>0.75485714904738244</v>
      </c>
      <c r="AQ14" s="347">
        <f>AP14*5</f>
        <v>3.7742857452369121</v>
      </c>
      <c r="AS14" s="345">
        <f t="shared" si="14"/>
        <v>2191430729.5</v>
      </c>
      <c r="AT14" s="345">
        <f t="shared" si="10"/>
        <v>2137364987.9400001</v>
      </c>
    </row>
    <row r="15" spans="1:46" ht="16.5" thickBot="1" x14ac:dyDescent="0.3">
      <c r="A15" s="183">
        <v>9</v>
      </c>
      <c r="B15" s="182" t="s">
        <v>41</v>
      </c>
      <c r="C15" s="250" t="s">
        <v>42</v>
      </c>
      <c r="D15" s="252" t="s">
        <v>43</v>
      </c>
      <c r="E15" s="348">
        <v>3971060</v>
      </c>
      <c r="F15" s="349">
        <v>3784637</v>
      </c>
      <c r="G15" s="339">
        <f t="shared" si="7"/>
        <v>0.95305460003122588</v>
      </c>
      <c r="H15" s="350">
        <v>10571449</v>
      </c>
      <c r="I15" s="351">
        <v>8953843.4700000007</v>
      </c>
      <c r="J15" s="339">
        <f t="shared" si="11"/>
        <v>0.84698355636961409</v>
      </c>
      <c r="K15" s="350">
        <f>13346484+3823720.93</f>
        <v>17170204.93</v>
      </c>
      <c r="L15" s="351">
        <v>18189809.84</v>
      </c>
      <c r="M15" s="339">
        <v>1</v>
      </c>
      <c r="N15" s="350">
        <f>8384534+1690206.98</f>
        <v>10074740.98</v>
      </c>
      <c r="O15" s="351">
        <v>9538251.1099999994</v>
      </c>
      <c r="P15" s="339">
        <f t="shared" si="1"/>
        <v>0.94674901607247064</v>
      </c>
      <c r="Q15" s="350">
        <v>12856334</v>
      </c>
      <c r="R15" s="351">
        <v>13399952.050000001</v>
      </c>
      <c r="S15" s="339">
        <v>1</v>
      </c>
      <c r="T15" s="350">
        <v>15025334</v>
      </c>
      <c r="U15" s="351">
        <v>14833333.9</v>
      </c>
      <c r="V15" s="339">
        <f t="shared" si="3"/>
        <v>0.98722157524085652</v>
      </c>
      <c r="W15" s="350">
        <v>11584807</v>
      </c>
      <c r="X15" s="351">
        <v>10762716.48</v>
      </c>
      <c r="Y15" s="339">
        <f t="shared" si="4"/>
        <v>0.92903718465055141</v>
      </c>
      <c r="Z15" s="350">
        <v>9833432</v>
      </c>
      <c r="AA15" s="351">
        <v>9785452.5099999998</v>
      </c>
      <c r="AB15" s="339">
        <f t="shared" si="15"/>
        <v>0.99512077878811789</v>
      </c>
      <c r="AC15" s="350">
        <v>11587232</v>
      </c>
      <c r="AD15" s="351">
        <v>11643283.92</v>
      </c>
      <c r="AE15" s="339">
        <f t="shared" si="12"/>
        <v>1.0048373865302775</v>
      </c>
      <c r="AF15" s="350">
        <v>12012982</v>
      </c>
      <c r="AG15" s="351">
        <v>12092388.189999999</v>
      </c>
      <c r="AH15" s="339">
        <v>1</v>
      </c>
      <c r="AI15" s="350">
        <v>10827382</v>
      </c>
      <c r="AJ15" s="351">
        <v>11372031.85</v>
      </c>
      <c r="AK15" s="339">
        <v>1</v>
      </c>
      <c r="AL15" s="350">
        <f>14354070+72.09</f>
        <v>14354142.09</v>
      </c>
      <c r="AM15" s="351">
        <v>15392525.539999999</v>
      </c>
      <c r="AN15" s="339">
        <v>1</v>
      </c>
      <c r="AO15" s="342">
        <f t="shared" si="8"/>
        <v>89.44972427527135</v>
      </c>
      <c r="AP15" s="343">
        <f t="shared" si="9"/>
        <v>0.89449724275271347</v>
      </c>
      <c r="AQ15" s="347">
        <f t="shared" si="13"/>
        <v>4.4724862137635677</v>
      </c>
      <c r="AS15" s="345">
        <f t="shared" si="14"/>
        <v>139869100</v>
      </c>
      <c r="AT15" s="345">
        <f t="shared" si="10"/>
        <v>139748225.86000001</v>
      </c>
    </row>
    <row r="16" spans="1:46" ht="26.25" thickBot="1" x14ac:dyDescent="0.3">
      <c r="A16" s="183">
        <v>10</v>
      </c>
      <c r="B16" s="182" t="s">
        <v>44</v>
      </c>
      <c r="C16" s="250" t="s">
        <v>45</v>
      </c>
      <c r="D16" s="252" t="s">
        <v>46</v>
      </c>
      <c r="E16" s="348">
        <v>6226550</v>
      </c>
      <c r="F16" s="349">
        <v>5201302.74</v>
      </c>
      <c r="G16" s="339">
        <f t="shared" si="7"/>
        <v>0.83534264400028913</v>
      </c>
      <c r="H16" s="350">
        <v>5964700</v>
      </c>
      <c r="I16" s="351">
        <v>5977722</v>
      </c>
      <c r="J16" s="339">
        <f t="shared" si="11"/>
        <v>1.0021831776954415</v>
      </c>
      <c r="K16" s="350">
        <v>12475771</v>
      </c>
      <c r="L16" s="351">
        <v>7016142.54</v>
      </c>
      <c r="M16" s="339">
        <f t="shared" si="0"/>
        <v>0.56238147846734288</v>
      </c>
      <c r="N16" s="350">
        <v>8009100</v>
      </c>
      <c r="O16" s="351">
        <v>6965596.6200000001</v>
      </c>
      <c r="P16" s="339">
        <f t="shared" si="1"/>
        <v>0.86971028205416345</v>
      </c>
      <c r="Q16" s="350">
        <v>6903417</v>
      </c>
      <c r="R16" s="351">
        <v>8517799.5700000003</v>
      </c>
      <c r="S16" s="339">
        <v>1</v>
      </c>
      <c r="T16" s="350">
        <v>6779927</v>
      </c>
      <c r="U16" s="351">
        <v>9846191.3900000006</v>
      </c>
      <c r="V16" s="339">
        <v>1</v>
      </c>
      <c r="W16" s="350">
        <v>7413647</v>
      </c>
      <c r="X16" s="351">
        <v>7760332.4100000001</v>
      </c>
      <c r="Y16" s="339">
        <v>1</v>
      </c>
      <c r="Z16" s="350">
        <v>10647448</v>
      </c>
      <c r="AA16" s="351">
        <v>4839660.82</v>
      </c>
      <c r="AB16" s="339">
        <f t="shared" si="15"/>
        <v>0.45453716421061652</v>
      </c>
      <c r="AC16" s="350">
        <v>6905158</v>
      </c>
      <c r="AD16" s="351">
        <v>13185221.689999999</v>
      </c>
      <c r="AE16" s="339">
        <v>1</v>
      </c>
      <c r="AF16" s="350">
        <v>9829030</v>
      </c>
      <c r="AG16" s="351">
        <v>10423226.65</v>
      </c>
      <c r="AH16" s="339">
        <v>1</v>
      </c>
      <c r="AI16" s="350">
        <v>5816390</v>
      </c>
      <c r="AJ16" s="351">
        <v>4560144.38</v>
      </c>
      <c r="AK16" s="339">
        <f t="shared" si="6"/>
        <v>0.78401626782248091</v>
      </c>
      <c r="AL16" s="350">
        <v>8199062</v>
      </c>
      <c r="AM16" s="351">
        <v>10876478.699999999</v>
      </c>
      <c r="AN16" s="339">
        <v>1</v>
      </c>
      <c r="AO16" s="342">
        <f t="shared" si="8"/>
        <v>79.234758452086126</v>
      </c>
      <c r="AP16" s="343">
        <f t="shared" si="9"/>
        <v>0.79234758452086129</v>
      </c>
      <c r="AQ16" s="347">
        <f t="shared" si="13"/>
        <v>3.9617379226043066</v>
      </c>
      <c r="AS16" s="345">
        <f t="shared" si="14"/>
        <v>95170200</v>
      </c>
      <c r="AT16" s="345">
        <f t="shared" si="10"/>
        <v>95169819.510000005</v>
      </c>
    </row>
    <row r="17" spans="1:46" ht="18" customHeight="1" thickBot="1" x14ac:dyDescent="0.3">
      <c r="A17" s="183">
        <v>11</v>
      </c>
      <c r="B17" s="182" t="s">
        <v>47</v>
      </c>
      <c r="C17" s="250" t="s">
        <v>48</v>
      </c>
      <c r="D17" s="252" t="s">
        <v>49</v>
      </c>
      <c r="E17" s="348">
        <v>1036700</v>
      </c>
      <c r="F17" s="349">
        <v>372897.22</v>
      </c>
      <c r="G17" s="339">
        <f t="shared" si="7"/>
        <v>0.35969636346098194</v>
      </c>
      <c r="H17" s="350">
        <v>586700</v>
      </c>
      <c r="I17" s="351">
        <v>1148860.31</v>
      </c>
      <c r="J17" s="339">
        <v>1</v>
      </c>
      <c r="K17" s="350">
        <v>3518780</v>
      </c>
      <c r="L17" s="351">
        <v>1192214.6399999999</v>
      </c>
      <c r="M17" s="339">
        <f t="shared" si="0"/>
        <v>0.33881477102859509</v>
      </c>
      <c r="N17" s="350">
        <v>1537800</v>
      </c>
      <c r="O17" s="351">
        <v>1480336.76</v>
      </c>
      <c r="P17" s="339">
        <f t="shared" si="1"/>
        <v>0.9626328261152296</v>
      </c>
      <c r="Q17" s="350">
        <v>1295800</v>
      </c>
      <c r="R17" s="351">
        <v>1239778.28</v>
      </c>
      <c r="S17" s="339">
        <f t="shared" si="2"/>
        <v>0.95676669239080103</v>
      </c>
      <c r="T17" s="350">
        <v>1680550</v>
      </c>
      <c r="U17" s="351">
        <v>2485544.67</v>
      </c>
      <c r="V17" s="339">
        <v>1</v>
      </c>
      <c r="W17" s="350">
        <v>1460400</v>
      </c>
      <c r="X17" s="351">
        <v>1532466.41</v>
      </c>
      <c r="Y17" s="339">
        <v>1</v>
      </c>
      <c r="Z17" s="350">
        <v>1366400</v>
      </c>
      <c r="AA17" s="351">
        <v>1472417.34</v>
      </c>
      <c r="AB17" s="339">
        <v>1</v>
      </c>
      <c r="AC17" s="350">
        <v>1056550</v>
      </c>
      <c r="AD17" s="351">
        <v>2195168.87</v>
      </c>
      <c r="AE17" s="339">
        <v>1</v>
      </c>
      <c r="AF17" s="350">
        <v>1639640</v>
      </c>
      <c r="AG17" s="351">
        <v>807843.24</v>
      </c>
      <c r="AH17" s="339">
        <f t="shared" si="5"/>
        <v>0.4926954941328584</v>
      </c>
      <c r="AI17" s="350">
        <v>1554940</v>
      </c>
      <c r="AJ17" s="351">
        <v>1617317.66</v>
      </c>
      <c r="AK17" s="339">
        <v>1</v>
      </c>
      <c r="AL17" s="350">
        <v>1191140</v>
      </c>
      <c r="AM17" s="351">
        <v>2380152.79</v>
      </c>
      <c r="AN17" s="339">
        <v>1</v>
      </c>
      <c r="AO17" s="342">
        <f t="shared" si="8"/>
        <v>75.92171789273722</v>
      </c>
      <c r="AP17" s="343">
        <f t="shared" si="9"/>
        <v>0.75921717892737217</v>
      </c>
      <c r="AQ17" s="347">
        <f t="shared" si="13"/>
        <v>3.7960858946368607</v>
      </c>
      <c r="AS17" s="345">
        <f t="shared" si="14"/>
        <v>17925400</v>
      </c>
      <c r="AT17" s="345">
        <f t="shared" si="10"/>
        <v>17924998.190000001</v>
      </c>
    </row>
    <row r="18" spans="1:46" ht="32.450000000000003" customHeight="1" thickBot="1" x14ac:dyDescent="0.3">
      <c r="A18" s="181" t="s">
        <v>37</v>
      </c>
      <c r="B18" s="182" t="s">
        <v>50</v>
      </c>
      <c r="C18" s="250" t="s">
        <v>51</v>
      </c>
      <c r="D18" s="252" t="s">
        <v>52</v>
      </c>
      <c r="E18" s="352">
        <v>8900400</v>
      </c>
      <c r="F18" s="353">
        <v>7931581.6100000003</v>
      </c>
      <c r="G18" s="339">
        <f t="shared" si="7"/>
        <v>0.89114889330816593</v>
      </c>
      <c r="H18" s="354">
        <v>9016700</v>
      </c>
      <c r="I18" s="355">
        <v>8609125.0500000007</v>
      </c>
      <c r="J18" s="339">
        <f t="shared" si="11"/>
        <v>0.95479776969401231</v>
      </c>
      <c r="K18" s="356">
        <v>8842700</v>
      </c>
      <c r="L18" s="355">
        <v>8779557.6999999993</v>
      </c>
      <c r="M18" s="339">
        <f t="shared" si="0"/>
        <v>0.99285938683886132</v>
      </c>
      <c r="N18" s="356">
        <v>8680400</v>
      </c>
      <c r="O18" s="355">
        <v>8871363.6400000006</v>
      </c>
      <c r="P18" s="339">
        <v>1</v>
      </c>
      <c r="Q18" s="356">
        <v>9089700</v>
      </c>
      <c r="R18" s="355">
        <v>8936108.0099999998</v>
      </c>
      <c r="S18" s="339">
        <f t="shared" si="2"/>
        <v>0.98310263375028872</v>
      </c>
      <c r="T18" s="356">
        <v>8443150</v>
      </c>
      <c r="U18" s="355">
        <v>8864494.4000000004</v>
      </c>
      <c r="V18" s="339">
        <v>1</v>
      </c>
      <c r="W18" s="356">
        <v>8654800</v>
      </c>
      <c r="X18" s="355">
        <v>8354365.6799999997</v>
      </c>
      <c r="Y18" s="339">
        <f t="shared" si="4"/>
        <v>0.96528697139159769</v>
      </c>
      <c r="Z18" s="356">
        <v>8227400</v>
      </c>
      <c r="AA18" s="355">
        <v>8389871.9900000002</v>
      </c>
      <c r="AB18" s="339">
        <v>1</v>
      </c>
      <c r="AC18" s="356">
        <v>8617400</v>
      </c>
      <c r="AD18" s="355">
        <v>8544102.5</v>
      </c>
      <c r="AE18" s="339">
        <f t="shared" si="12"/>
        <v>0.99149424420358812</v>
      </c>
      <c r="AF18" s="356">
        <v>8346500</v>
      </c>
      <c r="AG18" s="355">
        <v>8225552.71</v>
      </c>
      <c r="AH18" s="339">
        <f t="shared" si="5"/>
        <v>0.98550922063140234</v>
      </c>
      <c r="AI18" s="356">
        <v>8834400</v>
      </c>
      <c r="AJ18" s="355">
        <v>8205071.3200000003</v>
      </c>
      <c r="AK18" s="339">
        <f t="shared" si="6"/>
        <v>0.9287638458752151</v>
      </c>
      <c r="AL18" s="356">
        <v>9579450</v>
      </c>
      <c r="AM18" s="355">
        <v>10897624.199999999</v>
      </c>
      <c r="AN18" s="339">
        <v>1</v>
      </c>
      <c r="AO18" s="342">
        <f t="shared" si="8"/>
        <v>89.397299952512782</v>
      </c>
      <c r="AP18" s="343">
        <f t="shared" si="9"/>
        <v>0.89397299952512776</v>
      </c>
      <c r="AQ18" s="347">
        <f t="shared" si="13"/>
        <v>4.4698649976256384</v>
      </c>
      <c r="AS18" s="345">
        <f t="shared" si="14"/>
        <v>105233000</v>
      </c>
      <c r="AT18" s="345">
        <f t="shared" si="10"/>
        <v>104608818.80999999</v>
      </c>
    </row>
    <row r="19" spans="1:46" ht="15.75" x14ac:dyDescent="0.25">
      <c r="A19" s="422" t="s">
        <v>58</v>
      </c>
      <c r="B19" s="423"/>
      <c r="C19" s="423"/>
      <c r="D19" s="424"/>
      <c r="E19" s="264">
        <f>E7+E8+E9+E10+E11+E12+E13+E14+E15+E16+E17+E18</f>
        <v>226449900.80000001</v>
      </c>
      <c r="F19" s="265">
        <f t="shared" ref="F19:AQ19" si="16">F7+F8+F9+F10+F11+F12+F13+F14+F15+F16+F17+F18</f>
        <v>80617353.099999994</v>
      </c>
      <c r="G19" s="266"/>
      <c r="H19" s="267">
        <f t="shared" si="16"/>
        <v>239613338.30000001</v>
      </c>
      <c r="I19" s="268">
        <f t="shared" si="16"/>
        <v>252850672.5</v>
      </c>
      <c r="J19" s="269"/>
      <c r="K19" s="267">
        <f t="shared" si="16"/>
        <v>504376132.52000004</v>
      </c>
      <c r="L19" s="268">
        <f t="shared" si="16"/>
        <v>304386050.71999997</v>
      </c>
      <c r="M19" s="269"/>
      <c r="N19" s="267">
        <f t="shared" si="16"/>
        <v>302546368.00999999</v>
      </c>
      <c r="O19" s="268">
        <f t="shared" si="16"/>
        <v>352172204.63</v>
      </c>
      <c r="P19" s="269"/>
      <c r="Q19" s="267">
        <f t="shared" si="16"/>
        <v>279253539.76999998</v>
      </c>
      <c r="R19" s="268">
        <f t="shared" si="16"/>
        <v>197382666.93000001</v>
      </c>
      <c r="S19" s="269"/>
      <c r="T19" s="267">
        <f t="shared" si="16"/>
        <v>379606907.60000002</v>
      </c>
      <c r="U19" s="268">
        <f t="shared" si="16"/>
        <v>432920736.11999995</v>
      </c>
      <c r="V19" s="269"/>
      <c r="W19" s="267">
        <f t="shared" si="16"/>
        <v>316728853.38</v>
      </c>
      <c r="X19" s="268">
        <f t="shared" si="16"/>
        <v>336974967.79000002</v>
      </c>
      <c r="Y19" s="269"/>
      <c r="Z19" s="267">
        <f t="shared" si="16"/>
        <v>303916772.44</v>
      </c>
      <c r="AA19" s="268">
        <f t="shared" si="16"/>
        <v>268890501.23000002</v>
      </c>
      <c r="AB19" s="269"/>
      <c r="AC19" s="267">
        <f t="shared" si="16"/>
        <v>293622450.13999999</v>
      </c>
      <c r="AD19" s="268">
        <f t="shared" si="16"/>
        <v>242850150.32999998</v>
      </c>
      <c r="AE19" s="269"/>
      <c r="AF19" s="267">
        <f t="shared" si="16"/>
        <v>375940862.91999996</v>
      </c>
      <c r="AG19" s="268">
        <f t="shared" si="16"/>
        <v>303780565.03999996</v>
      </c>
      <c r="AH19" s="269"/>
      <c r="AI19" s="267">
        <f t="shared" si="16"/>
        <v>274314644.26999998</v>
      </c>
      <c r="AJ19" s="268">
        <f t="shared" si="16"/>
        <v>380276050.85000002</v>
      </c>
      <c r="AK19" s="269"/>
      <c r="AL19" s="267">
        <f t="shared" si="16"/>
        <v>457377497.34999996</v>
      </c>
      <c r="AM19" s="268">
        <f t="shared" si="16"/>
        <v>650684469.00999999</v>
      </c>
      <c r="AN19" s="268"/>
      <c r="AO19" s="270"/>
      <c r="AP19" s="270">
        <f t="shared" si="16"/>
        <v>9.0835142536091773</v>
      </c>
      <c r="AQ19" s="270">
        <f t="shared" si="16"/>
        <v>45.41757126804589</v>
      </c>
      <c r="AS19" s="345">
        <f>E19+H19+K19+N19+Q19+T19+W19+Z19+AC19+AF19+AI19+AL19</f>
        <v>3953747267.5</v>
      </c>
      <c r="AT19" s="345">
        <f t="shared" si="10"/>
        <v>3803786388.249999</v>
      </c>
    </row>
    <row r="20" spans="1:46" ht="15.75" x14ac:dyDescent="0.25">
      <c r="A20" s="425" t="s">
        <v>185</v>
      </c>
      <c r="B20" s="426"/>
      <c r="C20" s="426"/>
      <c r="D20" s="427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357">
        <f>AP19/12</f>
        <v>0.75695952113409815</v>
      </c>
      <c r="AQ20" s="358">
        <f>AQ19/12</f>
        <v>3.7847976056704908</v>
      </c>
    </row>
    <row r="21" spans="1:46" ht="15.6" x14ac:dyDescent="0.3">
      <c r="A21" s="13"/>
      <c r="B21" s="13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359"/>
      <c r="AP21" s="359"/>
      <c r="AQ21" s="359"/>
    </row>
    <row r="22" spans="1:46" ht="15.75" x14ac:dyDescent="0.25">
      <c r="A22" s="13"/>
      <c r="B22" s="13"/>
      <c r="C22" s="13"/>
      <c r="D22" s="13"/>
      <c r="E22" s="3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6" ht="15.75" x14ac:dyDescent="0.25">
      <c r="A23" s="406" t="s">
        <v>199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</row>
    <row r="24" spans="1:46" ht="15.75" x14ac:dyDescent="0.25">
      <c r="A24" s="407"/>
      <c r="B24" s="408"/>
      <c r="C24" s="40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</sheetData>
  <mergeCells count="26">
    <mergeCell ref="A19:D19"/>
    <mergeCell ref="A20:D20"/>
    <mergeCell ref="AP4:AP5"/>
    <mergeCell ref="E4:AM4"/>
    <mergeCell ref="Z5:AB5"/>
    <mergeCell ref="AC5:AE5"/>
    <mergeCell ref="AF5:AH5"/>
    <mergeCell ref="AI5:AK5"/>
    <mergeCell ref="AL5:AN5"/>
    <mergeCell ref="AO4:AO5"/>
    <mergeCell ref="A2:AQ2"/>
    <mergeCell ref="E3:F3"/>
    <mergeCell ref="AQ4:AQ6"/>
    <mergeCell ref="A23:AQ23"/>
    <mergeCell ref="A24:C24"/>
    <mergeCell ref="D4:D6"/>
    <mergeCell ref="C4:C6"/>
    <mergeCell ref="B4:B6"/>
    <mergeCell ref="A4:A6"/>
    <mergeCell ref="E5:G5"/>
    <mergeCell ref="H5:J5"/>
    <mergeCell ref="K5:M5"/>
    <mergeCell ref="N5:P5"/>
    <mergeCell ref="Q5:S5"/>
    <mergeCell ref="T5:V5"/>
    <mergeCell ref="W5:Y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2" manualBreakCount="2">
    <brk id="16" max="23" man="1"/>
    <brk id="2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4"/>
  <sheetViews>
    <sheetView view="pageBreakPreview" zoomScaleNormal="100" zoomScaleSheetLayoutView="100" workbookViewId="0">
      <selection activeCell="I20" sqref="I20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7.5703125" customWidth="1"/>
    <col min="9" max="9" width="14" customWidth="1"/>
    <col min="12" max="12" width="13.140625" customWidth="1"/>
  </cols>
  <sheetData>
    <row r="2" spans="1:12" x14ac:dyDescent="0.25">
      <c r="A2" s="392" t="s">
        <v>217</v>
      </c>
      <c r="B2" s="393"/>
      <c r="C2" s="393"/>
      <c r="D2" s="393"/>
      <c r="E2" s="393"/>
      <c r="F2" s="393"/>
      <c r="G2" s="393"/>
      <c r="H2" s="393"/>
      <c r="I2" s="393"/>
    </row>
    <row r="3" spans="1:12" ht="16.149999999999999" thickBot="1" x14ac:dyDescent="0.35">
      <c r="A3" s="22"/>
      <c r="B3" s="22"/>
      <c r="C3" s="22"/>
      <c r="D3" s="159"/>
      <c r="E3" s="394"/>
      <c r="F3" s="394"/>
      <c r="G3" s="15"/>
      <c r="H3" s="15"/>
      <c r="I3" s="15"/>
    </row>
    <row r="4" spans="1:12" ht="32.25" thickBot="1" x14ac:dyDescent="0.3">
      <c r="A4" s="162" t="s">
        <v>0</v>
      </c>
      <c r="B4" s="161" t="s">
        <v>107</v>
      </c>
      <c r="C4" s="161" t="s">
        <v>1</v>
      </c>
      <c r="D4" s="161" t="s">
        <v>2</v>
      </c>
      <c r="E4" s="410" t="s">
        <v>212</v>
      </c>
      <c r="F4" s="410"/>
      <c r="G4" s="163"/>
      <c r="H4" s="163"/>
      <c r="I4" s="435" t="s">
        <v>128</v>
      </c>
    </row>
    <row r="5" spans="1:12" ht="31.9" customHeight="1" thickBot="1" x14ac:dyDescent="0.3">
      <c r="A5" s="164"/>
      <c r="B5" s="165"/>
      <c r="C5" s="165"/>
      <c r="D5" s="165"/>
      <c r="E5" s="165" t="s">
        <v>93</v>
      </c>
      <c r="F5" s="166" t="s">
        <v>94</v>
      </c>
      <c r="G5" s="167" t="s">
        <v>79</v>
      </c>
      <c r="H5" s="168" t="s">
        <v>72</v>
      </c>
      <c r="I5" s="436"/>
    </row>
    <row r="6" spans="1:12" ht="51.75" customHeight="1" thickBot="1" x14ac:dyDescent="0.3">
      <c r="A6" s="169"/>
      <c r="B6" s="170"/>
      <c r="C6" s="170"/>
      <c r="D6" s="170"/>
      <c r="E6" s="170" t="s">
        <v>90</v>
      </c>
      <c r="F6" s="171" t="s">
        <v>91</v>
      </c>
      <c r="G6" s="277" t="s">
        <v>92</v>
      </c>
      <c r="H6" s="173" t="s">
        <v>200</v>
      </c>
      <c r="I6" s="437"/>
    </row>
    <row r="7" spans="1:12" ht="31.15" customHeight="1" thickBot="1" x14ac:dyDescent="0.3">
      <c r="A7" s="179" t="s">
        <v>8</v>
      </c>
      <c r="B7" s="180" t="s">
        <v>9</v>
      </c>
      <c r="C7" s="180" t="s">
        <v>10</v>
      </c>
      <c r="D7" s="185" t="s">
        <v>11</v>
      </c>
      <c r="E7" s="174">
        <v>5214400</v>
      </c>
      <c r="F7" s="236">
        <v>5214314.76</v>
      </c>
      <c r="G7" s="2">
        <f>(E7-F7)/E7</f>
        <v>1.6347038969051765E-5</v>
      </c>
      <c r="H7" s="370">
        <v>1</v>
      </c>
      <c r="I7" s="313">
        <f>H7*10</f>
        <v>10</v>
      </c>
      <c r="L7" s="4">
        <f>IF(G7&gt;=0.1,0,1-(K7/100))</f>
        <v>1</v>
      </c>
    </row>
    <row r="8" spans="1:12" ht="26.25" thickBot="1" x14ac:dyDescent="0.3">
      <c r="A8" s="181" t="s">
        <v>15</v>
      </c>
      <c r="B8" s="182" t="s">
        <v>12</v>
      </c>
      <c r="C8" s="182" t="s">
        <v>13</v>
      </c>
      <c r="D8" s="186" t="s">
        <v>14</v>
      </c>
      <c r="E8" s="174">
        <v>1092311038</v>
      </c>
      <c r="F8" s="275">
        <v>1043676770.24</v>
      </c>
      <c r="G8" s="2">
        <f t="shared" ref="G8:G18" si="0">(E8-F8)/E8</f>
        <v>4.452419326371395E-2</v>
      </c>
      <c r="H8" s="370">
        <f>(0.1-G8)/0.08</f>
        <v>0.69344758420357566</v>
      </c>
      <c r="I8" s="313">
        <f t="shared" ref="I8:I18" si="1">H8*10</f>
        <v>6.9344758420357566</v>
      </c>
    </row>
    <row r="9" spans="1:12" ht="16.5" thickBot="1" x14ac:dyDescent="0.3">
      <c r="A9" s="181" t="s">
        <v>16</v>
      </c>
      <c r="B9" s="182" t="s">
        <v>22</v>
      </c>
      <c r="C9" s="182" t="s">
        <v>23</v>
      </c>
      <c r="D9" s="186" t="s">
        <v>24</v>
      </c>
      <c r="E9" s="174">
        <v>27084300</v>
      </c>
      <c r="F9" s="275">
        <v>27084197.600000001</v>
      </c>
      <c r="G9" s="2">
        <f t="shared" si="0"/>
        <v>3.780788131814737E-6</v>
      </c>
      <c r="H9" s="370">
        <v>1</v>
      </c>
      <c r="I9" s="313">
        <f t="shared" si="1"/>
        <v>10</v>
      </c>
    </row>
    <row r="10" spans="1:12" ht="30" customHeight="1" thickBot="1" x14ac:dyDescent="0.3">
      <c r="A10" s="181" t="s">
        <v>17</v>
      </c>
      <c r="B10" s="182" t="s">
        <v>25</v>
      </c>
      <c r="C10" s="182" t="s">
        <v>26</v>
      </c>
      <c r="D10" s="186" t="s">
        <v>27</v>
      </c>
      <c r="E10" s="174">
        <v>4794300</v>
      </c>
      <c r="F10" s="275">
        <v>4794279</v>
      </c>
      <c r="G10" s="2">
        <f t="shared" si="0"/>
        <v>4.3802014892685067E-6</v>
      </c>
      <c r="H10" s="370">
        <v>1</v>
      </c>
      <c r="I10" s="313">
        <f t="shared" si="1"/>
        <v>10</v>
      </c>
    </row>
    <row r="11" spans="1:12" ht="40.15" customHeight="1" thickBot="1" x14ac:dyDescent="0.3">
      <c r="A11" s="181" t="s">
        <v>18</v>
      </c>
      <c r="B11" s="182" t="s">
        <v>28</v>
      </c>
      <c r="C11" s="182" t="s">
        <v>29</v>
      </c>
      <c r="D11" s="186" t="s">
        <v>30</v>
      </c>
      <c r="E11" s="174">
        <v>7233300</v>
      </c>
      <c r="F11" s="275">
        <v>7227812.3499999996</v>
      </c>
      <c r="G11" s="2">
        <f t="shared" si="0"/>
        <v>7.5866478647372191E-4</v>
      </c>
      <c r="H11" s="370">
        <v>1</v>
      </c>
      <c r="I11" s="313">
        <f t="shared" si="1"/>
        <v>10</v>
      </c>
    </row>
    <row r="12" spans="1:12" ht="28.15" customHeight="1" thickBot="1" x14ac:dyDescent="0.3">
      <c r="A12" s="181" t="s">
        <v>19</v>
      </c>
      <c r="B12" s="182" t="s">
        <v>31</v>
      </c>
      <c r="C12" s="182" t="s">
        <v>32</v>
      </c>
      <c r="D12" s="186" t="s">
        <v>33</v>
      </c>
      <c r="E12" s="174">
        <v>5300500</v>
      </c>
      <c r="F12" s="275">
        <v>5300450</v>
      </c>
      <c r="G12" s="2">
        <f t="shared" si="0"/>
        <v>9.4330723516649367E-6</v>
      </c>
      <c r="H12" s="370">
        <v>1</v>
      </c>
      <c r="I12" s="313">
        <f t="shared" si="1"/>
        <v>10</v>
      </c>
    </row>
    <row r="13" spans="1:12" ht="16.5" thickBot="1" x14ac:dyDescent="0.3">
      <c r="A13" s="181" t="s">
        <v>20</v>
      </c>
      <c r="B13" s="182" t="s">
        <v>34</v>
      </c>
      <c r="C13" s="182" t="s">
        <v>35</v>
      </c>
      <c r="D13" s="186" t="s">
        <v>36</v>
      </c>
      <c r="E13" s="174">
        <v>262181000</v>
      </c>
      <c r="F13" s="275">
        <v>215671713.99000001</v>
      </c>
      <c r="G13" s="2">
        <f t="shared" si="0"/>
        <v>0.17739380813254962</v>
      </c>
      <c r="H13" s="370">
        <v>0</v>
      </c>
      <c r="I13" s="313">
        <f t="shared" si="1"/>
        <v>0</v>
      </c>
    </row>
    <row r="14" spans="1:12" ht="16.899999999999999" customHeight="1" thickBot="1" x14ac:dyDescent="0.3">
      <c r="A14" s="181" t="s">
        <v>21</v>
      </c>
      <c r="B14" s="182" t="s">
        <v>40</v>
      </c>
      <c r="C14" s="182" t="s">
        <v>38</v>
      </c>
      <c r="D14" s="186" t="s">
        <v>39</v>
      </c>
      <c r="E14" s="174">
        <v>2191430729.5</v>
      </c>
      <c r="F14" s="275">
        <v>2137364987.9400001</v>
      </c>
      <c r="G14" s="2">
        <f t="shared" si="0"/>
        <v>2.4671435346868418E-2</v>
      </c>
      <c r="H14" s="370">
        <f>(0.1-G14)/0.08</f>
        <v>0.94160705816414492</v>
      </c>
      <c r="I14" s="313">
        <f t="shared" si="1"/>
        <v>9.4160705816414492</v>
      </c>
    </row>
    <row r="15" spans="1:12" ht="16.5" thickBot="1" x14ac:dyDescent="0.3">
      <c r="A15" s="183">
        <v>9</v>
      </c>
      <c r="B15" s="182" t="s">
        <v>41</v>
      </c>
      <c r="C15" s="182" t="s">
        <v>42</v>
      </c>
      <c r="D15" s="186" t="s">
        <v>43</v>
      </c>
      <c r="E15" s="174">
        <v>139869100</v>
      </c>
      <c r="F15" s="275">
        <v>139748225.86000001</v>
      </c>
      <c r="G15" s="2">
        <f t="shared" si="0"/>
        <v>8.6419473636411258E-4</v>
      </c>
      <c r="H15" s="370">
        <f t="shared" ref="H15" si="2">IF(G15&gt;10,0,(1-G15/100))</f>
        <v>0.99999135805263639</v>
      </c>
      <c r="I15" s="313">
        <f t="shared" si="1"/>
        <v>9.9999135805263641</v>
      </c>
    </row>
    <row r="16" spans="1:12" ht="16.5" thickBot="1" x14ac:dyDescent="0.3">
      <c r="A16" s="183">
        <v>10</v>
      </c>
      <c r="B16" s="182" t="s">
        <v>44</v>
      </c>
      <c r="C16" s="182" t="s">
        <v>45</v>
      </c>
      <c r="D16" s="186" t="s">
        <v>46</v>
      </c>
      <c r="E16" s="174">
        <v>95170200</v>
      </c>
      <c r="F16" s="275">
        <v>95169819.510000005</v>
      </c>
      <c r="G16" s="2">
        <f t="shared" si="0"/>
        <v>3.9979951707008661E-6</v>
      </c>
      <c r="H16" s="370">
        <v>1</v>
      </c>
      <c r="I16" s="313">
        <f t="shared" si="1"/>
        <v>10</v>
      </c>
    </row>
    <row r="17" spans="1:9" ht="18" customHeight="1" thickBot="1" x14ac:dyDescent="0.3">
      <c r="A17" s="183">
        <v>11</v>
      </c>
      <c r="B17" s="182" t="s">
        <v>47</v>
      </c>
      <c r="C17" s="182" t="s">
        <v>48</v>
      </c>
      <c r="D17" s="186" t="s">
        <v>49</v>
      </c>
      <c r="E17" s="174">
        <v>17925400</v>
      </c>
      <c r="F17" s="275">
        <v>17924998.190000001</v>
      </c>
      <c r="G17" s="2">
        <f t="shared" si="0"/>
        <v>2.2415678311148364E-5</v>
      </c>
      <c r="H17" s="370">
        <v>1</v>
      </c>
      <c r="I17" s="313">
        <f t="shared" si="1"/>
        <v>10</v>
      </c>
    </row>
    <row r="18" spans="1:9" ht="32.450000000000003" customHeight="1" x14ac:dyDescent="0.25">
      <c r="A18" s="181" t="s">
        <v>37</v>
      </c>
      <c r="B18" s="182" t="s">
        <v>50</v>
      </c>
      <c r="C18" s="182" t="s">
        <v>51</v>
      </c>
      <c r="D18" s="186" t="s">
        <v>52</v>
      </c>
      <c r="E18" s="174">
        <v>105233000</v>
      </c>
      <c r="F18" s="276">
        <v>104608818.81</v>
      </c>
      <c r="G18" s="2">
        <f t="shared" si="0"/>
        <v>5.931420657018213E-3</v>
      </c>
      <c r="H18" s="371">
        <v>1</v>
      </c>
      <c r="I18" s="313">
        <f t="shared" si="1"/>
        <v>10</v>
      </c>
    </row>
    <row r="19" spans="1:9" ht="15.75" x14ac:dyDescent="0.25">
      <c r="A19" s="438" t="s">
        <v>58</v>
      </c>
      <c r="B19" s="439"/>
      <c r="C19" s="439"/>
      <c r="D19" s="440"/>
      <c r="E19" s="272">
        <f>E7+E8+E9+E10+E11+E12+E13+E14+E15+E16+E17+E18</f>
        <v>3953747267.5</v>
      </c>
      <c r="F19" s="273">
        <f>F7+F8+F9+F10+F11+F12+F13+F14+F15+F16+F17+F18</f>
        <v>3803786388.2500005</v>
      </c>
      <c r="G19" s="274">
        <f t="shared" ref="G19:H19" si="3">G7+G8+G9+G10+G11+G12+G13+G14+G15+G16+G17+G18</f>
        <v>0.25420407169741172</v>
      </c>
      <c r="H19" s="372">
        <f t="shared" si="3"/>
        <v>10.635046000420356</v>
      </c>
      <c r="I19" s="372">
        <f>I7+I8+I9+I10+I11+I12+I13+I14+I15+I16+I17+I18</f>
        <v>106.35046000420357</v>
      </c>
    </row>
    <row r="20" spans="1:9" ht="15.75" x14ac:dyDescent="0.25">
      <c r="A20" s="425" t="s">
        <v>185</v>
      </c>
      <c r="B20" s="426"/>
      <c r="C20" s="426"/>
      <c r="D20" s="427"/>
      <c r="E20" s="262"/>
      <c r="F20" s="263"/>
      <c r="G20" s="271">
        <f>G19/12</f>
        <v>2.1183672641450976E-2</v>
      </c>
      <c r="H20" s="373">
        <f t="shared" ref="H20:I20" si="4">H19/12</f>
        <v>0.88625383336836305</v>
      </c>
      <c r="I20" s="373">
        <f t="shared" si="4"/>
        <v>8.8625383336836308</v>
      </c>
    </row>
    <row r="21" spans="1:9" ht="15.75" x14ac:dyDescent="0.25">
      <c r="A21" s="13"/>
      <c r="B21" s="13"/>
      <c r="C21" s="13"/>
      <c r="D21" s="13"/>
      <c r="E21" s="14"/>
      <c r="F21" s="15"/>
      <c r="G21" s="16"/>
      <c r="H21" s="16"/>
      <c r="I21" s="16"/>
    </row>
    <row r="22" spans="1:9" ht="15.75" x14ac:dyDescent="0.25">
      <c r="A22" s="13"/>
      <c r="B22" s="13"/>
      <c r="C22" s="13"/>
      <c r="D22" s="13"/>
      <c r="E22" s="37"/>
      <c r="F22" s="15"/>
      <c r="G22" s="15"/>
      <c r="H22" s="15"/>
      <c r="I22" s="15"/>
    </row>
    <row r="23" spans="1:9" ht="15.75" x14ac:dyDescent="0.25">
      <c r="A23" s="398" t="s">
        <v>198</v>
      </c>
      <c r="B23" s="398"/>
      <c r="C23" s="398"/>
      <c r="D23" s="398"/>
      <c r="E23" s="398"/>
      <c r="F23" s="398"/>
      <c r="G23" s="398"/>
      <c r="H23" s="398"/>
      <c r="I23" s="398"/>
    </row>
    <row r="24" spans="1:9" ht="15.75" x14ac:dyDescent="0.25">
      <c r="A24" s="389"/>
      <c r="B24" s="390"/>
      <c r="C24" s="391"/>
      <c r="D24" s="15"/>
      <c r="E24" s="15"/>
      <c r="F24" s="15"/>
      <c r="G24" s="15"/>
      <c r="H24" s="15"/>
      <c r="I24" s="15"/>
    </row>
  </sheetData>
  <mergeCells count="8">
    <mergeCell ref="A24:C24"/>
    <mergeCell ref="A2:I2"/>
    <mergeCell ref="E3:F3"/>
    <mergeCell ref="I4:I6"/>
    <mergeCell ref="E4:F4"/>
    <mergeCell ref="A23:I23"/>
    <mergeCell ref="A19:D19"/>
    <mergeCell ref="A20:D20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Q33"/>
  <sheetViews>
    <sheetView zoomScale="82" zoomScaleNormal="82" workbookViewId="0">
      <selection activeCell="A24" sqref="A24:C24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3.42578125" style="15" customWidth="1"/>
    <col min="4" max="4" width="54" style="15" customWidth="1"/>
    <col min="5" max="5" width="16" style="15" customWidth="1"/>
    <col min="6" max="6" width="16.28515625" style="15" customWidth="1"/>
    <col min="7" max="7" width="14.7109375" style="15" customWidth="1"/>
    <col min="8" max="8" width="20" style="15" customWidth="1"/>
    <col min="9" max="9" width="12.5703125" style="15" customWidth="1"/>
    <col min="10" max="16384" width="9.140625" style="15"/>
  </cols>
  <sheetData>
    <row r="1" spans="1:173" x14ac:dyDescent="0.25">
      <c r="A1" s="441" t="s">
        <v>82</v>
      </c>
      <c r="B1" s="442"/>
      <c r="C1" s="442"/>
      <c r="D1" s="442"/>
      <c r="E1" s="442"/>
      <c r="F1" s="442"/>
      <c r="G1" s="442"/>
      <c r="H1" s="442"/>
      <c r="I1" s="442"/>
    </row>
    <row r="2" spans="1:173" ht="16.5" thickBot="1" x14ac:dyDescent="0.3">
      <c r="D2" s="135" t="s">
        <v>75</v>
      </c>
      <c r="E2" s="443" t="s">
        <v>206</v>
      </c>
      <c r="F2" s="443"/>
    </row>
    <row r="3" spans="1:173" ht="34.5" customHeight="1" thickBot="1" x14ac:dyDescent="0.3">
      <c r="A3" s="69" t="s">
        <v>0</v>
      </c>
      <c r="B3" s="49"/>
      <c r="C3" s="50" t="s">
        <v>1</v>
      </c>
      <c r="D3" s="50" t="s">
        <v>2</v>
      </c>
      <c r="E3" s="444" t="s">
        <v>74</v>
      </c>
      <c r="F3" s="444"/>
      <c r="G3" s="83"/>
      <c r="H3" s="447" t="s">
        <v>73</v>
      </c>
      <c r="I3" s="445" t="s">
        <v>57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</row>
    <row r="4" spans="1:173" ht="61.5" customHeight="1" thickBot="1" x14ac:dyDescent="0.3">
      <c r="A4" s="47"/>
      <c r="B4" s="84"/>
      <c r="C4" s="84"/>
      <c r="D4" s="84"/>
      <c r="E4" s="51" t="s">
        <v>80</v>
      </c>
      <c r="F4" s="51" t="s">
        <v>81</v>
      </c>
      <c r="G4" s="68" t="s">
        <v>79</v>
      </c>
      <c r="H4" s="446"/>
      <c r="I4" s="44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ht="30" customHeight="1" thickBot="1" x14ac:dyDescent="0.3">
      <c r="A5" s="88"/>
      <c r="B5" s="11"/>
      <c r="C5" s="11"/>
      <c r="D5" s="11"/>
      <c r="E5" s="11" t="s">
        <v>76</v>
      </c>
      <c r="F5" s="12" t="s">
        <v>77</v>
      </c>
      <c r="G5" s="41" t="s">
        <v>78</v>
      </c>
      <c r="H5" s="89" t="s">
        <v>88</v>
      </c>
      <c r="I5" s="44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</row>
    <row r="6" spans="1:173" x14ac:dyDescent="0.25">
      <c r="A6" s="53" t="s">
        <v>8</v>
      </c>
      <c r="B6" s="85" t="s">
        <v>9</v>
      </c>
      <c r="C6" s="86" t="s">
        <v>10</v>
      </c>
      <c r="D6" s="87" t="s">
        <v>11</v>
      </c>
      <c r="E6" s="138">
        <v>79014.759999999995</v>
      </c>
      <c r="F6" s="137">
        <v>79100</v>
      </c>
      <c r="G6" s="100">
        <f>1-(E6/F6)</f>
        <v>1.0776232616941384E-3</v>
      </c>
      <c r="H6" s="144">
        <v>1</v>
      </c>
      <c r="I6" s="101">
        <f>H6*5</f>
        <v>5</v>
      </c>
    </row>
    <row r="7" spans="1:173" ht="18.75" customHeight="1" x14ac:dyDescent="0.25">
      <c r="A7" s="56" t="s">
        <v>15</v>
      </c>
      <c r="B7" s="57" t="s">
        <v>12</v>
      </c>
      <c r="C7" s="58" t="s">
        <v>13</v>
      </c>
      <c r="D7" s="59" t="s">
        <v>14</v>
      </c>
      <c r="E7" s="140">
        <v>439380413.77999997</v>
      </c>
      <c r="F7" s="139">
        <v>451554928</v>
      </c>
      <c r="G7" s="375">
        <f>1-(E7/F7)</f>
        <v>2.696131403973967E-2</v>
      </c>
      <c r="H7" s="145">
        <v>1</v>
      </c>
      <c r="I7" s="102">
        <f>H7*5</f>
        <v>5</v>
      </c>
    </row>
    <row r="8" spans="1:173" x14ac:dyDescent="0.25">
      <c r="A8" s="56" t="s">
        <v>16</v>
      </c>
      <c r="B8" s="57" t="s">
        <v>22</v>
      </c>
      <c r="C8" s="58" t="s">
        <v>23</v>
      </c>
      <c r="D8" s="59" t="s">
        <v>24</v>
      </c>
      <c r="E8" s="140">
        <v>3165297.66</v>
      </c>
      <c r="F8" s="139">
        <v>3165400</v>
      </c>
      <c r="G8" s="100">
        <f t="shared" ref="G8:G17" si="0">1-(E8/F8)</f>
        <v>3.2330827067661438E-5</v>
      </c>
      <c r="H8" s="145">
        <v>1</v>
      </c>
      <c r="I8" s="102">
        <f t="shared" ref="I8:I17" si="1">H8*5</f>
        <v>5</v>
      </c>
    </row>
    <row r="9" spans="1:173" ht="31.5" x14ac:dyDescent="0.25">
      <c r="A9" s="56" t="s">
        <v>17</v>
      </c>
      <c r="B9" s="57" t="s">
        <v>25</v>
      </c>
      <c r="C9" s="58" t="s">
        <v>26</v>
      </c>
      <c r="D9" s="59" t="s">
        <v>27</v>
      </c>
      <c r="E9" s="140">
        <v>210379</v>
      </c>
      <c r="F9" s="139">
        <v>210400</v>
      </c>
      <c r="G9" s="100">
        <f>1-(E9/F9)</f>
        <v>9.9809885931612108E-5</v>
      </c>
      <c r="H9" s="145">
        <v>1</v>
      </c>
      <c r="I9" s="102">
        <f t="shared" si="1"/>
        <v>5</v>
      </c>
    </row>
    <row r="10" spans="1:173" ht="31.5" x14ac:dyDescent="0.25">
      <c r="A10" s="56" t="s">
        <v>18</v>
      </c>
      <c r="B10" s="57" t="s">
        <v>28</v>
      </c>
      <c r="C10" s="58" t="s">
        <v>29</v>
      </c>
      <c r="D10" s="59" t="s">
        <v>30</v>
      </c>
      <c r="E10" s="140">
        <v>856399.08</v>
      </c>
      <c r="F10" s="139">
        <v>856500</v>
      </c>
      <c r="G10" s="100">
        <f t="shared" si="0"/>
        <v>1.1782837127849444E-4</v>
      </c>
      <c r="H10" s="145">
        <v>1</v>
      </c>
      <c r="I10" s="102">
        <f t="shared" si="1"/>
        <v>5</v>
      </c>
    </row>
    <row r="11" spans="1:173" ht="19.5" customHeight="1" x14ac:dyDescent="0.25">
      <c r="A11" s="56" t="s">
        <v>19</v>
      </c>
      <c r="B11" s="57" t="s">
        <v>31</v>
      </c>
      <c r="C11" s="58" t="s">
        <v>32</v>
      </c>
      <c r="D11" s="59" t="s">
        <v>33</v>
      </c>
      <c r="E11" s="140">
        <v>14350</v>
      </c>
      <c r="F11" s="139">
        <v>14400</v>
      </c>
      <c r="G11" s="100">
        <f t="shared" si="0"/>
        <v>3.4722222222222099E-3</v>
      </c>
      <c r="H11" s="145">
        <v>1</v>
      </c>
      <c r="I11" s="102">
        <f t="shared" si="1"/>
        <v>5</v>
      </c>
    </row>
    <row r="12" spans="1:173" x14ac:dyDescent="0.25">
      <c r="A12" s="56" t="s">
        <v>20</v>
      </c>
      <c r="B12" s="57" t="s">
        <v>34</v>
      </c>
      <c r="C12" s="58" t="s">
        <v>35</v>
      </c>
      <c r="D12" s="59" t="s">
        <v>36</v>
      </c>
      <c r="E12" s="140">
        <v>225472732.34</v>
      </c>
      <c r="F12" s="139">
        <v>244366100</v>
      </c>
      <c r="G12" s="375">
        <f t="shared" si="0"/>
        <v>7.7315829241453637E-2</v>
      </c>
      <c r="H12" s="145">
        <v>1</v>
      </c>
      <c r="I12" s="102">
        <f t="shared" si="1"/>
        <v>5</v>
      </c>
    </row>
    <row r="13" spans="1:173" x14ac:dyDescent="0.25">
      <c r="A13" s="56" t="s">
        <v>21</v>
      </c>
      <c r="B13" s="57" t="s">
        <v>40</v>
      </c>
      <c r="C13" s="58" t="s">
        <v>38</v>
      </c>
      <c r="D13" s="59" t="s">
        <v>39</v>
      </c>
      <c r="E13" s="139">
        <v>27071832.489999998</v>
      </c>
      <c r="F13" s="141">
        <v>28391500</v>
      </c>
      <c r="G13" s="375">
        <f t="shared" si="0"/>
        <v>4.6481077435147955E-2</v>
      </c>
      <c r="H13" s="145">
        <v>1</v>
      </c>
      <c r="I13" s="102">
        <f t="shared" si="1"/>
        <v>5</v>
      </c>
    </row>
    <row r="14" spans="1:173" x14ac:dyDescent="0.25">
      <c r="A14" s="60">
        <v>9</v>
      </c>
      <c r="B14" s="57" t="s">
        <v>41</v>
      </c>
      <c r="C14" s="58" t="s">
        <v>42</v>
      </c>
      <c r="D14" s="59" t="s">
        <v>43</v>
      </c>
      <c r="E14" s="139">
        <v>2395695.65</v>
      </c>
      <c r="F14" s="141">
        <v>2395769.7000000002</v>
      </c>
      <c r="G14" s="100">
        <f t="shared" si="0"/>
        <v>3.0908647020710944E-5</v>
      </c>
      <c r="H14" s="145">
        <v>1</v>
      </c>
      <c r="I14" s="102">
        <f t="shared" si="1"/>
        <v>5</v>
      </c>
    </row>
    <row r="15" spans="1:173" x14ac:dyDescent="0.25">
      <c r="A15" s="60">
        <v>10</v>
      </c>
      <c r="B15" s="57" t="s">
        <v>44</v>
      </c>
      <c r="C15" s="58" t="s">
        <v>45</v>
      </c>
      <c r="D15" s="59" t="s">
        <v>46</v>
      </c>
      <c r="E15" s="139">
        <v>1631375.01</v>
      </c>
      <c r="F15" s="141">
        <v>1631600</v>
      </c>
      <c r="G15" s="100">
        <f t="shared" si="0"/>
        <v>1.3789531747976369E-4</v>
      </c>
      <c r="H15" s="145">
        <v>1</v>
      </c>
      <c r="I15" s="102">
        <f t="shared" si="1"/>
        <v>5</v>
      </c>
    </row>
    <row r="16" spans="1:173" x14ac:dyDescent="0.25">
      <c r="A16" s="60">
        <v>11</v>
      </c>
      <c r="B16" s="57" t="s">
        <v>47</v>
      </c>
      <c r="C16" s="58" t="s">
        <v>48</v>
      </c>
      <c r="D16" s="59" t="s">
        <v>49</v>
      </c>
      <c r="E16" s="139">
        <v>3945698.19</v>
      </c>
      <c r="F16" s="141">
        <v>3946000</v>
      </c>
      <c r="G16" s="100">
        <f t="shared" si="0"/>
        <v>7.6485048150054524E-5</v>
      </c>
      <c r="H16" s="145">
        <v>1</v>
      </c>
      <c r="I16" s="102">
        <f t="shared" si="1"/>
        <v>5</v>
      </c>
    </row>
    <row r="17" spans="1:9" ht="34.5" customHeight="1" thickBot="1" x14ac:dyDescent="0.3">
      <c r="A17" s="90" t="s">
        <v>37</v>
      </c>
      <c r="B17" s="91" t="s">
        <v>50</v>
      </c>
      <c r="C17" s="92" t="s">
        <v>51</v>
      </c>
      <c r="D17" s="93" t="s">
        <v>52</v>
      </c>
      <c r="E17" s="376">
        <v>1927100</v>
      </c>
      <c r="F17" s="142">
        <v>1927100</v>
      </c>
      <c r="G17" s="100">
        <f t="shared" si="0"/>
        <v>0</v>
      </c>
      <c r="H17" s="146">
        <v>1</v>
      </c>
      <c r="I17" s="102">
        <f t="shared" si="1"/>
        <v>5</v>
      </c>
    </row>
    <row r="18" spans="1:9" ht="16.5" thickBot="1" x14ac:dyDescent="0.3">
      <c r="A18" s="94" t="s">
        <v>37</v>
      </c>
      <c r="B18" s="95"/>
      <c r="C18" s="96"/>
      <c r="D18" s="97" t="s">
        <v>58</v>
      </c>
      <c r="E18" s="143">
        <f>SUM(E6:E17)</f>
        <v>706150287.96000004</v>
      </c>
      <c r="F18" s="143">
        <f>SUM(F6:F17)</f>
        <v>738538797.70000005</v>
      </c>
      <c r="G18" s="98">
        <f>SUM(G6:G17)</f>
        <v>0.15580332429718591</v>
      </c>
      <c r="H18" s="99"/>
      <c r="I18" s="248">
        <f>SUM(I6:I17)/12</f>
        <v>5</v>
      </c>
    </row>
    <row r="19" spans="1:9" ht="15.6" x14ac:dyDescent="0.3">
      <c r="H19" s="80"/>
    </row>
    <row r="20" spans="1:9" x14ac:dyDescent="0.25">
      <c r="D20" s="15" t="s">
        <v>55</v>
      </c>
      <c r="G20" s="16">
        <f>G18/A18</f>
        <v>1.2983610358098826E-2</v>
      </c>
      <c r="I20" s="261"/>
    </row>
    <row r="21" spans="1:9" x14ac:dyDescent="0.25">
      <c r="E21" s="65"/>
    </row>
    <row r="23" spans="1:9" x14ac:dyDescent="0.25">
      <c r="A23" s="398" t="s">
        <v>89</v>
      </c>
      <c r="B23" s="398"/>
      <c r="C23" s="398"/>
      <c r="D23" s="398"/>
      <c r="E23" s="398"/>
      <c r="F23" s="398"/>
      <c r="G23" s="398"/>
      <c r="H23" s="398"/>
      <c r="I23" s="398"/>
    </row>
    <row r="24" spans="1:9" x14ac:dyDescent="0.25">
      <c r="A24" s="389"/>
      <c r="B24" s="390"/>
      <c r="C24" s="391"/>
    </row>
    <row r="31" spans="1:9" x14ac:dyDescent="0.25">
      <c r="E31" s="66"/>
    </row>
    <row r="33" spans="1:4" x14ac:dyDescent="0.25">
      <c r="A33" s="67"/>
      <c r="B33" s="67"/>
      <c r="D33" s="48"/>
    </row>
  </sheetData>
  <mergeCells count="7">
    <mergeCell ref="A23:I23"/>
    <mergeCell ref="A24:C24"/>
    <mergeCell ref="A1:I1"/>
    <mergeCell ref="E2:F2"/>
    <mergeCell ref="E3:F3"/>
    <mergeCell ref="I3:I5"/>
    <mergeCell ref="H3:H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Q31"/>
  <sheetViews>
    <sheetView view="pageBreakPreview" zoomScale="82" zoomScaleNormal="110" zoomScaleSheetLayoutView="82" workbookViewId="0">
      <selection activeCell="M11" sqref="M11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5.85546875" style="15" customWidth="1"/>
    <col min="5" max="5" width="11.7109375" style="15" customWidth="1"/>
    <col min="6" max="6" width="11.85546875" style="15" customWidth="1"/>
    <col min="7" max="7" width="16" style="15" customWidth="1"/>
    <col min="8" max="8" width="14.140625" style="15" customWidth="1"/>
    <col min="9" max="9" width="12.5703125" style="15" customWidth="1"/>
    <col min="10" max="16384" width="9.140625" style="15"/>
  </cols>
  <sheetData>
    <row r="1" spans="1:173" ht="43.9" customHeight="1" x14ac:dyDescent="0.25">
      <c r="A1" s="450" t="s">
        <v>220</v>
      </c>
      <c r="B1" s="450"/>
      <c r="C1" s="450"/>
      <c r="D1" s="450"/>
      <c r="E1" s="450"/>
      <c r="F1" s="450"/>
      <c r="G1" s="450"/>
      <c r="H1" s="450"/>
      <c r="I1" s="450"/>
    </row>
    <row r="2" spans="1:173" x14ac:dyDescent="0.25">
      <c r="D2" s="135"/>
      <c r="E2" s="451"/>
      <c r="F2" s="451"/>
    </row>
    <row r="3" spans="1:173" ht="15.75" customHeight="1" x14ac:dyDescent="0.25">
      <c r="A3" s="285" t="s">
        <v>0</v>
      </c>
      <c r="B3" s="285"/>
      <c r="C3" s="285" t="s">
        <v>1</v>
      </c>
      <c r="D3" s="285" t="s">
        <v>2</v>
      </c>
      <c r="E3" s="452" t="s">
        <v>53</v>
      </c>
      <c r="F3" s="452"/>
      <c r="G3" s="285"/>
      <c r="H3" s="452" t="s">
        <v>87</v>
      </c>
      <c r="I3" s="452" t="s">
        <v>57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</row>
    <row r="4" spans="1:173" ht="32.25" customHeight="1" x14ac:dyDescent="0.25">
      <c r="A4" s="285"/>
      <c r="B4" s="285"/>
      <c r="C4" s="285"/>
      <c r="D4" s="285"/>
      <c r="E4" s="285" t="s">
        <v>4</v>
      </c>
      <c r="F4" s="285" t="s">
        <v>5</v>
      </c>
      <c r="G4" s="285" t="s">
        <v>79</v>
      </c>
      <c r="H4" s="453"/>
      <c r="I4" s="453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ht="36.75" customHeight="1" thickBot="1" x14ac:dyDescent="0.3">
      <c r="A5" s="72"/>
      <c r="B5" s="72"/>
      <c r="C5" s="72"/>
      <c r="D5" s="72"/>
      <c r="E5" s="285" t="s">
        <v>6</v>
      </c>
      <c r="F5" s="285" t="s">
        <v>7</v>
      </c>
      <c r="G5" s="285" t="s">
        <v>56</v>
      </c>
      <c r="H5" s="453"/>
      <c r="I5" s="4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</row>
    <row r="6" spans="1:173" x14ac:dyDescent="0.25">
      <c r="A6" s="58" t="s">
        <v>8</v>
      </c>
      <c r="B6" s="58" t="s">
        <v>9</v>
      </c>
      <c r="C6" s="58" t="s">
        <v>10</v>
      </c>
      <c r="D6" s="59" t="s">
        <v>11</v>
      </c>
      <c r="E6" s="311">
        <v>321</v>
      </c>
      <c r="F6" s="8">
        <v>0</v>
      </c>
      <c r="G6" s="312">
        <f>F6/E6*100</f>
        <v>0</v>
      </c>
      <c r="H6" s="4">
        <f>IF(G6&gt;10,0,1-(G6/100))</f>
        <v>1</v>
      </c>
      <c r="I6" s="313">
        <f>H6*5</f>
        <v>5</v>
      </c>
    </row>
    <row r="7" spans="1:173" ht="18.75" customHeight="1" x14ac:dyDescent="0.25">
      <c r="A7" s="58" t="s">
        <v>15</v>
      </c>
      <c r="B7" s="58" t="s">
        <v>12</v>
      </c>
      <c r="C7" s="58" t="s">
        <v>13</v>
      </c>
      <c r="D7" s="59" t="s">
        <v>14</v>
      </c>
      <c r="E7" s="314">
        <v>5762</v>
      </c>
      <c r="F7" s="7">
        <v>66</v>
      </c>
      <c r="G7" s="377">
        <f>F7/E7*100</f>
        <v>1.1454356126345018</v>
      </c>
      <c r="H7" s="2">
        <f>IF(G7&gt;10,0,1-(G7/100))</f>
        <v>0.98854564387365496</v>
      </c>
      <c r="I7" s="315">
        <f>H7*5</f>
        <v>4.9427282193682744</v>
      </c>
    </row>
    <row r="8" spans="1:173" x14ac:dyDescent="0.25">
      <c r="A8" s="58" t="s">
        <v>16</v>
      </c>
      <c r="B8" s="58" t="s">
        <v>22</v>
      </c>
      <c r="C8" s="58" t="s">
        <v>23</v>
      </c>
      <c r="D8" s="59" t="s">
        <v>24</v>
      </c>
      <c r="E8" s="314">
        <v>388</v>
      </c>
      <c r="F8" s="7">
        <v>3</v>
      </c>
      <c r="G8" s="377">
        <f>F8/E8*100</f>
        <v>0.77319587628865982</v>
      </c>
      <c r="H8" s="2">
        <f t="shared" ref="H8:H17" si="0">IF(G8&gt;10,0,1-(G8/100))</f>
        <v>0.99226804123711343</v>
      </c>
      <c r="I8" s="315">
        <f t="shared" ref="I8:I17" si="1">H8*5</f>
        <v>4.9613402061855671</v>
      </c>
    </row>
    <row r="9" spans="1:173" ht="31.5" x14ac:dyDescent="0.25">
      <c r="A9" s="58" t="s">
        <v>17</v>
      </c>
      <c r="B9" s="58" t="s">
        <v>25</v>
      </c>
      <c r="C9" s="58" t="s">
        <v>26</v>
      </c>
      <c r="D9" s="59" t="s">
        <v>27</v>
      </c>
      <c r="E9" s="314">
        <v>304</v>
      </c>
      <c r="F9" s="7">
        <v>2</v>
      </c>
      <c r="G9" s="377">
        <f t="shared" ref="G9:G17" si="2">F9/E9*100</f>
        <v>0.6578947368421052</v>
      </c>
      <c r="H9" s="2">
        <f t="shared" si="0"/>
        <v>0.99342105263157898</v>
      </c>
      <c r="I9" s="315">
        <f t="shared" si="1"/>
        <v>4.9671052631578947</v>
      </c>
    </row>
    <row r="10" spans="1:173" ht="31.5" x14ac:dyDescent="0.25">
      <c r="A10" s="58" t="s">
        <v>18</v>
      </c>
      <c r="B10" s="58" t="s">
        <v>28</v>
      </c>
      <c r="C10" s="58" t="s">
        <v>29</v>
      </c>
      <c r="D10" s="59" t="s">
        <v>30</v>
      </c>
      <c r="E10" s="314">
        <v>548</v>
      </c>
      <c r="F10" s="7">
        <v>3</v>
      </c>
      <c r="G10" s="377">
        <f t="shared" si="2"/>
        <v>0.54744525547445255</v>
      </c>
      <c r="H10" s="2">
        <f t="shared" si="0"/>
        <v>0.99452554744525545</v>
      </c>
      <c r="I10" s="315">
        <f t="shared" si="1"/>
        <v>4.9726277372262775</v>
      </c>
    </row>
    <row r="11" spans="1:173" ht="19.5" customHeight="1" x14ac:dyDescent="0.25">
      <c r="A11" s="58" t="s">
        <v>19</v>
      </c>
      <c r="B11" s="58" t="s">
        <v>31</v>
      </c>
      <c r="C11" s="58" t="s">
        <v>32</v>
      </c>
      <c r="D11" s="59" t="s">
        <v>33</v>
      </c>
      <c r="E11" s="314">
        <v>247</v>
      </c>
      <c r="F11" s="7">
        <v>1</v>
      </c>
      <c r="G11" s="377">
        <f t="shared" si="2"/>
        <v>0.40485829959514169</v>
      </c>
      <c r="H11" s="2">
        <f t="shared" si="0"/>
        <v>0.99595141700404854</v>
      </c>
      <c r="I11" s="315">
        <f t="shared" si="1"/>
        <v>4.9797570850202426</v>
      </c>
    </row>
    <row r="12" spans="1:173" x14ac:dyDescent="0.25">
      <c r="A12" s="58" t="s">
        <v>20</v>
      </c>
      <c r="B12" s="58" t="s">
        <v>34</v>
      </c>
      <c r="C12" s="58" t="s">
        <v>35</v>
      </c>
      <c r="D12" s="59" t="s">
        <v>36</v>
      </c>
      <c r="E12" s="314">
        <v>1591</v>
      </c>
      <c r="F12" s="7">
        <v>52</v>
      </c>
      <c r="G12" s="378">
        <f t="shared" si="2"/>
        <v>3.2683846637335008</v>
      </c>
      <c r="H12" s="2">
        <f>IF(G12&gt;10,0,1-(G12/100))</f>
        <v>0.96731615336266497</v>
      </c>
      <c r="I12" s="315">
        <f t="shared" si="1"/>
        <v>4.8365807668133245</v>
      </c>
    </row>
    <row r="13" spans="1:173" x14ac:dyDescent="0.25">
      <c r="A13" s="58" t="s">
        <v>21</v>
      </c>
      <c r="B13" s="58" t="s">
        <v>40</v>
      </c>
      <c r="C13" s="58" t="s">
        <v>38</v>
      </c>
      <c r="D13" s="59" t="s">
        <v>39</v>
      </c>
      <c r="E13" s="314">
        <v>111251</v>
      </c>
      <c r="F13" s="7">
        <v>2703</v>
      </c>
      <c r="G13" s="378">
        <f t="shared" si="2"/>
        <v>2.4296410818779157</v>
      </c>
      <c r="H13" s="2">
        <f t="shared" si="0"/>
        <v>0.9757035891812208</v>
      </c>
      <c r="I13" s="315">
        <f t="shared" si="1"/>
        <v>4.8785179459061041</v>
      </c>
    </row>
    <row r="14" spans="1:173" x14ac:dyDescent="0.25">
      <c r="A14" s="303">
        <v>9</v>
      </c>
      <c r="B14" s="58" t="s">
        <v>41</v>
      </c>
      <c r="C14" s="58" t="s">
        <v>42</v>
      </c>
      <c r="D14" s="59" t="s">
        <v>43</v>
      </c>
      <c r="E14" s="314">
        <v>5878</v>
      </c>
      <c r="F14" s="7">
        <v>69</v>
      </c>
      <c r="G14" s="377">
        <f t="shared" si="2"/>
        <v>1.1738686628104797</v>
      </c>
      <c r="H14" s="2">
        <f t="shared" si="0"/>
        <v>0.98826131337189516</v>
      </c>
      <c r="I14" s="315">
        <f t="shared" si="1"/>
        <v>4.9413065668594758</v>
      </c>
    </row>
    <row r="15" spans="1:173" x14ac:dyDescent="0.25">
      <c r="A15" s="303">
        <v>10</v>
      </c>
      <c r="B15" s="58" t="s">
        <v>44</v>
      </c>
      <c r="C15" s="58" t="s">
        <v>45</v>
      </c>
      <c r="D15" s="59" t="s">
        <v>46</v>
      </c>
      <c r="E15" s="314">
        <v>2682</v>
      </c>
      <c r="F15" s="7">
        <v>68</v>
      </c>
      <c r="G15" s="378">
        <f t="shared" si="2"/>
        <v>2.535421327367636</v>
      </c>
      <c r="H15" s="2">
        <f t="shared" si="0"/>
        <v>0.97464578672632363</v>
      </c>
      <c r="I15" s="315">
        <f t="shared" si="1"/>
        <v>4.8732289336316184</v>
      </c>
    </row>
    <row r="16" spans="1:173" x14ac:dyDescent="0.25">
      <c r="A16" s="303">
        <v>11</v>
      </c>
      <c r="B16" s="58" t="s">
        <v>47</v>
      </c>
      <c r="C16" s="58" t="s">
        <v>48</v>
      </c>
      <c r="D16" s="59" t="s">
        <v>49</v>
      </c>
      <c r="E16" s="314">
        <v>942</v>
      </c>
      <c r="F16" s="7">
        <v>12</v>
      </c>
      <c r="G16" s="378">
        <f t="shared" si="2"/>
        <v>1.2738853503184715</v>
      </c>
      <c r="H16" s="2">
        <f t="shared" si="0"/>
        <v>0.98726114649681529</v>
      </c>
      <c r="I16" s="315">
        <f t="shared" si="1"/>
        <v>4.936305732484076</v>
      </c>
    </row>
    <row r="17" spans="1:9" x14ac:dyDescent="0.25">
      <c r="A17" s="58" t="s">
        <v>37</v>
      </c>
      <c r="B17" s="58" t="s">
        <v>50</v>
      </c>
      <c r="C17" s="58" t="s">
        <v>51</v>
      </c>
      <c r="D17" s="59" t="s">
        <v>52</v>
      </c>
      <c r="E17" s="314">
        <v>4987</v>
      </c>
      <c r="F17" s="7">
        <v>46</v>
      </c>
      <c r="G17" s="377">
        <f t="shared" si="2"/>
        <v>0.92239823541207144</v>
      </c>
      <c r="H17" s="2">
        <f t="shared" si="0"/>
        <v>0.9907760176458793</v>
      </c>
      <c r="I17" s="315">
        <f t="shared" si="1"/>
        <v>4.953880088229397</v>
      </c>
    </row>
    <row r="18" spans="1:9" s="64" customFormat="1" x14ac:dyDescent="0.25">
      <c r="A18" s="304" t="s">
        <v>37</v>
      </c>
      <c r="B18" s="304"/>
      <c r="C18" s="304"/>
      <c r="D18" s="305" t="s">
        <v>58</v>
      </c>
      <c r="E18" s="302">
        <f>E6+E7+E8+E9+E10+E11+E12+E13+E14+E15+E16+E17</f>
        <v>134901</v>
      </c>
      <c r="F18" s="302">
        <f>F6+F7+F8+F9+F10+F11+F12+F13+F14+F15+F16+F17</f>
        <v>3025</v>
      </c>
      <c r="G18" s="306">
        <f>SUM(G6:G17)</f>
        <v>15.132429102354935</v>
      </c>
      <c r="H18" s="306"/>
      <c r="I18" s="307"/>
    </row>
    <row r="19" spans="1:9" x14ac:dyDescent="0.25">
      <c r="H19" s="80"/>
    </row>
    <row r="21" spans="1:9" x14ac:dyDescent="0.25">
      <c r="A21" s="398" t="s">
        <v>89</v>
      </c>
      <c r="B21" s="398"/>
      <c r="C21" s="398"/>
      <c r="D21" s="398"/>
      <c r="E21" s="398"/>
      <c r="F21" s="398"/>
    </row>
    <row r="22" spans="1:9" x14ac:dyDescent="0.25">
      <c r="A22" s="448"/>
      <c r="B22" s="398"/>
      <c r="C22" s="449"/>
    </row>
    <row r="29" spans="1:9" x14ac:dyDescent="0.25">
      <c r="E29" s="66"/>
    </row>
    <row r="31" spans="1:9" x14ac:dyDescent="0.25">
      <c r="A31" s="67"/>
      <c r="B31" s="67"/>
      <c r="D31" s="48"/>
    </row>
  </sheetData>
  <mergeCells count="7">
    <mergeCell ref="A21:F21"/>
    <mergeCell ref="A22:C22"/>
    <mergeCell ref="A1:I1"/>
    <mergeCell ref="E2:F2"/>
    <mergeCell ref="E3:F3"/>
    <mergeCell ref="I3:I5"/>
    <mergeCell ref="H3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zoomScale="93" zoomScaleNormal="93" workbookViewId="0">
      <selection activeCell="I14" sqref="I14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62.42578125" style="22" customWidth="1"/>
    <col min="5" max="5" width="11.5703125" style="22" customWidth="1"/>
    <col min="6" max="6" width="11.5703125" style="15" customWidth="1"/>
    <col min="7" max="7" width="16.28515625" style="15" customWidth="1"/>
    <col min="8" max="8" width="18.42578125" style="15" customWidth="1"/>
    <col min="9" max="9" width="12.140625" style="15" customWidth="1"/>
    <col min="10" max="16384" width="9.140625" style="22"/>
  </cols>
  <sheetData>
    <row r="1" spans="1:9" ht="36" customHeight="1" x14ac:dyDescent="0.25">
      <c r="A1" s="392" t="s">
        <v>83</v>
      </c>
      <c r="B1" s="393"/>
      <c r="C1" s="393"/>
      <c r="D1" s="393"/>
      <c r="E1" s="393"/>
      <c r="F1" s="393"/>
      <c r="G1" s="393"/>
      <c r="H1" s="393"/>
      <c r="I1" s="393"/>
    </row>
    <row r="2" spans="1:9" ht="16.5" thickBot="1" x14ac:dyDescent="0.3">
      <c r="D2" s="135" t="s">
        <v>75</v>
      </c>
      <c r="E2" s="394" t="s">
        <v>206</v>
      </c>
      <c r="F2" s="394"/>
    </row>
    <row r="3" spans="1:9" ht="50.25" customHeight="1" thickBot="1" x14ac:dyDescent="0.3">
      <c r="A3" s="23" t="s">
        <v>0</v>
      </c>
      <c r="B3" s="6"/>
      <c r="C3" s="6" t="s">
        <v>1</v>
      </c>
      <c r="D3" s="6" t="s">
        <v>2</v>
      </c>
      <c r="E3" s="454" t="s">
        <v>3</v>
      </c>
      <c r="F3" s="454"/>
      <c r="G3" s="3"/>
      <c r="H3" s="3"/>
      <c r="I3" s="455" t="s">
        <v>57</v>
      </c>
    </row>
    <row r="4" spans="1:9" ht="32.25" customHeight="1" thickBot="1" x14ac:dyDescent="0.3">
      <c r="A4" s="25"/>
      <c r="B4" s="10"/>
      <c r="C4" s="10"/>
      <c r="D4" s="10"/>
      <c r="E4" s="10" t="s">
        <v>4</v>
      </c>
      <c r="F4" s="11" t="s">
        <v>5</v>
      </c>
      <c r="G4" s="12" t="s">
        <v>79</v>
      </c>
      <c r="H4" s="40" t="s">
        <v>72</v>
      </c>
      <c r="I4" s="456"/>
    </row>
    <row r="5" spans="1:9" ht="51.75" customHeight="1" thickBot="1" x14ac:dyDescent="0.3">
      <c r="A5" s="42"/>
      <c r="B5" s="43"/>
      <c r="C5" s="43"/>
      <c r="D5" s="43"/>
      <c r="E5" s="43" t="s">
        <v>6</v>
      </c>
      <c r="F5" s="44" t="s">
        <v>7</v>
      </c>
      <c r="G5" s="45" t="s">
        <v>56</v>
      </c>
      <c r="H5" s="46" t="s">
        <v>86</v>
      </c>
      <c r="I5" s="457"/>
    </row>
    <row r="6" spans="1:9" x14ac:dyDescent="0.25">
      <c r="A6" s="26" t="s">
        <v>8</v>
      </c>
      <c r="B6" s="27" t="s">
        <v>9</v>
      </c>
      <c r="C6" s="27" t="s">
        <v>10</v>
      </c>
      <c r="D6" s="28" t="s">
        <v>11</v>
      </c>
      <c r="E6" s="8">
        <v>1</v>
      </c>
      <c r="F6" s="8">
        <v>0</v>
      </c>
      <c r="G6" s="4">
        <f>(F6/E6)*100</f>
        <v>0</v>
      </c>
      <c r="H6" s="147">
        <f>IF(G6&gt;10,0,(1-G6/100))</f>
        <v>1</v>
      </c>
      <c r="I6" s="5">
        <f>H6*5</f>
        <v>5</v>
      </c>
    </row>
    <row r="7" spans="1:9" x14ac:dyDescent="0.25">
      <c r="A7" s="29" t="s">
        <v>15</v>
      </c>
      <c r="B7" s="30" t="s">
        <v>12</v>
      </c>
      <c r="C7" s="30" t="s">
        <v>13</v>
      </c>
      <c r="D7" s="31" t="s">
        <v>14</v>
      </c>
      <c r="E7" s="7">
        <v>176</v>
      </c>
      <c r="F7" s="7">
        <v>42</v>
      </c>
      <c r="G7" s="2">
        <f>(F7/E7)*100</f>
        <v>23.863636363636363</v>
      </c>
      <c r="H7" s="147">
        <f t="shared" ref="H7:H12" si="0">IF(G7&gt;10,0,(1-G7/100))</f>
        <v>0</v>
      </c>
      <c r="I7" s="9">
        <f>H7*5</f>
        <v>0</v>
      </c>
    </row>
    <row r="8" spans="1:9" x14ac:dyDescent="0.25">
      <c r="A8" s="29" t="s">
        <v>16</v>
      </c>
      <c r="B8" s="30" t="s">
        <v>22</v>
      </c>
      <c r="C8" s="30" t="s">
        <v>23</v>
      </c>
      <c r="D8" s="31" t="s">
        <v>24</v>
      </c>
      <c r="E8" s="7">
        <v>13</v>
      </c>
      <c r="F8" s="7">
        <v>2</v>
      </c>
      <c r="G8" s="2">
        <f t="shared" ref="G8:G17" si="1">(F8/E8)*100</f>
        <v>15.384615384615385</v>
      </c>
      <c r="H8" s="147">
        <f>IF(G8&gt;10,0,(1-G8/100))</f>
        <v>0</v>
      </c>
      <c r="I8" s="9">
        <f t="shared" ref="I8:I17" si="2">H8*5</f>
        <v>0</v>
      </c>
    </row>
    <row r="9" spans="1:9" ht="20.25" customHeight="1" x14ac:dyDescent="0.25">
      <c r="A9" s="29" t="s">
        <v>17</v>
      </c>
      <c r="B9" s="30" t="s">
        <v>25</v>
      </c>
      <c r="C9" s="30" t="s">
        <v>26</v>
      </c>
      <c r="D9" s="31" t="s">
        <v>27</v>
      </c>
      <c r="E9" s="7">
        <v>3</v>
      </c>
      <c r="F9" s="7">
        <v>0</v>
      </c>
      <c r="G9" s="2">
        <f t="shared" si="1"/>
        <v>0</v>
      </c>
      <c r="H9" s="147">
        <f t="shared" si="0"/>
        <v>1</v>
      </c>
      <c r="I9" s="9">
        <f>H9*5</f>
        <v>5</v>
      </c>
    </row>
    <row r="10" spans="1:9" ht="31.5" x14ac:dyDescent="0.25">
      <c r="A10" s="29" t="s">
        <v>18</v>
      </c>
      <c r="B10" s="30" t="s">
        <v>28</v>
      </c>
      <c r="C10" s="30" t="s">
        <v>29</v>
      </c>
      <c r="D10" s="31" t="s">
        <v>30</v>
      </c>
      <c r="E10" s="7">
        <v>4</v>
      </c>
      <c r="F10" s="7">
        <v>1</v>
      </c>
      <c r="G10" s="2">
        <f>(F10/E10)*100</f>
        <v>25</v>
      </c>
      <c r="H10" s="147">
        <f t="shared" si="0"/>
        <v>0</v>
      </c>
      <c r="I10" s="9">
        <f t="shared" si="2"/>
        <v>0</v>
      </c>
    </row>
    <row r="11" spans="1:9" ht="18" customHeight="1" x14ac:dyDescent="0.25">
      <c r="A11" s="29" t="s">
        <v>19</v>
      </c>
      <c r="B11" s="30" t="s">
        <v>31</v>
      </c>
      <c r="C11" s="30" t="s">
        <v>32</v>
      </c>
      <c r="D11" s="31" t="s">
        <v>33</v>
      </c>
      <c r="E11" s="7">
        <v>2</v>
      </c>
      <c r="F11" s="7">
        <v>0</v>
      </c>
      <c r="G11" s="2">
        <f t="shared" si="1"/>
        <v>0</v>
      </c>
      <c r="H11" s="147">
        <f t="shared" si="0"/>
        <v>1</v>
      </c>
      <c r="I11" s="9">
        <f t="shared" si="2"/>
        <v>5</v>
      </c>
    </row>
    <row r="12" spans="1:9" x14ac:dyDescent="0.25">
      <c r="A12" s="29" t="s">
        <v>20</v>
      </c>
      <c r="B12" s="30" t="s">
        <v>34</v>
      </c>
      <c r="C12" s="30" t="s">
        <v>35</v>
      </c>
      <c r="D12" s="31" t="s">
        <v>36</v>
      </c>
      <c r="E12" s="7">
        <v>79</v>
      </c>
      <c r="F12" s="7">
        <v>19</v>
      </c>
      <c r="G12" s="2">
        <f>(F12/E12)*100</f>
        <v>24.050632911392405</v>
      </c>
      <c r="H12" s="147">
        <f t="shared" si="0"/>
        <v>0</v>
      </c>
      <c r="I12" s="9">
        <f>H12*5</f>
        <v>0</v>
      </c>
    </row>
    <row r="13" spans="1:9" x14ac:dyDescent="0.25">
      <c r="A13" s="29" t="s">
        <v>21</v>
      </c>
      <c r="B13" s="30" t="s">
        <v>40</v>
      </c>
      <c r="C13" s="30" t="s">
        <v>38</v>
      </c>
      <c r="D13" s="31" t="s">
        <v>39</v>
      </c>
      <c r="E13" s="7">
        <v>1812</v>
      </c>
      <c r="F13" s="7">
        <v>34</v>
      </c>
      <c r="G13" s="2">
        <f t="shared" si="1"/>
        <v>1.8763796909492272</v>
      </c>
      <c r="H13" s="147">
        <f>IF(G13&gt;10,0,(1-G13/100))</f>
        <v>0.98123620309050774</v>
      </c>
      <c r="I13" s="9">
        <f>H13*5</f>
        <v>4.9061810154525389</v>
      </c>
    </row>
    <row r="14" spans="1:9" x14ac:dyDescent="0.25">
      <c r="A14" s="32">
        <v>9</v>
      </c>
      <c r="B14" s="30" t="s">
        <v>41</v>
      </c>
      <c r="C14" s="30" t="s">
        <v>42</v>
      </c>
      <c r="D14" s="31" t="s">
        <v>43</v>
      </c>
      <c r="E14" s="7">
        <v>95</v>
      </c>
      <c r="F14" s="7">
        <v>17</v>
      </c>
      <c r="G14" s="2">
        <f>(F14/E14)*100</f>
        <v>17.894736842105264</v>
      </c>
      <c r="H14" s="147">
        <f t="shared" ref="H14:H17" si="3">IF(G14&gt;10,0,(1-G14/100))</f>
        <v>0</v>
      </c>
      <c r="I14" s="9">
        <f t="shared" si="2"/>
        <v>0</v>
      </c>
    </row>
    <row r="15" spans="1:9" x14ac:dyDescent="0.25">
      <c r="A15" s="32">
        <v>10</v>
      </c>
      <c r="B15" s="30" t="s">
        <v>44</v>
      </c>
      <c r="C15" s="30" t="s">
        <v>45</v>
      </c>
      <c r="D15" s="31" t="s">
        <v>46</v>
      </c>
      <c r="E15" s="7">
        <v>49</v>
      </c>
      <c r="F15" s="7">
        <v>0</v>
      </c>
      <c r="G15" s="2">
        <f t="shared" si="1"/>
        <v>0</v>
      </c>
      <c r="H15" s="147">
        <f t="shared" si="3"/>
        <v>1</v>
      </c>
      <c r="I15" s="9">
        <f t="shared" si="2"/>
        <v>5</v>
      </c>
    </row>
    <row r="16" spans="1:9" x14ac:dyDescent="0.25">
      <c r="A16" s="32">
        <v>11</v>
      </c>
      <c r="B16" s="30" t="s">
        <v>47</v>
      </c>
      <c r="C16" s="30" t="s">
        <v>48</v>
      </c>
      <c r="D16" s="31" t="s">
        <v>49</v>
      </c>
      <c r="E16" s="7">
        <v>14</v>
      </c>
      <c r="F16" s="7">
        <v>1</v>
      </c>
      <c r="G16" s="2">
        <f t="shared" si="1"/>
        <v>7.1428571428571423</v>
      </c>
      <c r="H16" s="147">
        <f t="shared" si="3"/>
        <v>0.9285714285714286</v>
      </c>
      <c r="I16" s="9">
        <f t="shared" si="2"/>
        <v>4.6428571428571432</v>
      </c>
    </row>
    <row r="17" spans="1:9" ht="18" customHeight="1" x14ac:dyDescent="0.25">
      <c r="A17" s="29" t="s">
        <v>37</v>
      </c>
      <c r="B17" s="30" t="s">
        <v>50</v>
      </c>
      <c r="C17" s="30" t="s">
        <v>51</v>
      </c>
      <c r="D17" s="31" t="s">
        <v>52</v>
      </c>
      <c r="E17" s="7">
        <v>9</v>
      </c>
      <c r="F17" s="7">
        <v>3</v>
      </c>
      <c r="G17" s="2">
        <f t="shared" si="1"/>
        <v>33.333333333333329</v>
      </c>
      <c r="H17" s="147">
        <f t="shared" si="3"/>
        <v>0</v>
      </c>
      <c r="I17" s="9">
        <f t="shared" si="2"/>
        <v>0</v>
      </c>
    </row>
    <row r="18" spans="1:9" s="36" customFormat="1" ht="16.5" thickBot="1" x14ac:dyDescent="0.3">
      <c r="A18" s="33" t="s">
        <v>37</v>
      </c>
      <c r="B18" s="34"/>
      <c r="C18" s="34"/>
      <c r="D18" s="35" t="s">
        <v>58</v>
      </c>
      <c r="E18" s="17">
        <f>E6+E7+E8+E9+E10+E11+E12+E13+E14+E15+E16+E17</f>
        <v>2257</v>
      </c>
      <c r="F18" s="18">
        <f>F6+F7+F8+F9+F10+F11+F12+F13+F14+F15+F16+F17</f>
        <v>119</v>
      </c>
      <c r="G18" s="19">
        <f>SUM(G6:G17)</f>
        <v>148.54619166888909</v>
      </c>
      <c r="H18" s="20"/>
      <c r="I18" s="21">
        <f>SUM(I6:I17)/12</f>
        <v>2.4624198465258069</v>
      </c>
    </row>
    <row r="19" spans="1:9" x14ac:dyDescent="0.25">
      <c r="A19" s="13"/>
      <c r="B19" s="13"/>
      <c r="C19" s="13"/>
      <c r="D19" s="13"/>
      <c r="E19" s="13"/>
    </row>
    <row r="20" spans="1:9" x14ac:dyDescent="0.25">
      <c r="A20" s="13"/>
      <c r="B20" s="13"/>
      <c r="C20" s="13"/>
      <c r="D20" s="13" t="s">
        <v>55</v>
      </c>
      <c r="E20" s="14"/>
      <c r="G20" s="16">
        <f>G18/A18</f>
        <v>12.378849305740758</v>
      </c>
    </row>
    <row r="21" spans="1:9" x14ac:dyDescent="0.25">
      <c r="A21" s="13"/>
      <c r="B21" s="13"/>
      <c r="C21" s="13"/>
      <c r="D21" s="13"/>
      <c r="E21" s="37"/>
    </row>
    <row r="22" spans="1:9" s="15" customFormat="1" x14ac:dyDescent="0.25">
      <c r="A22" s="398" t="s">
        <v>89</v>
      </c>
      <c r="B22" s="398"/>
      <c r="C22" s="398"/>
      <c r="D22" s="398"/>
      <c r="E22" s="398"/>
      <c r="F22" s="398"/>
      <c r="G22" s="398"/>
      <c r="H22" s="398"/>
      <c r="I22" s="398"/>
    </row>
    <row r="23" spans="1:9" s="15" customFormat="1" x14ac:dyDescent="0.25">
      <c r="A23" s="389"/>
      <c r="B23" s="390"/>
      <c r="C23" s="391"/>
    </row>
    <row r="24" spans="1:9" x14ac:dyDescent="0.25">
      <c r="A24" s="13"/>
      <c r="B24" s="13"/>
      <c r="C24" s="13"/>
      <c r="D24" s="13"/>
      <c r="E24" s="13"/>
    </row>
    <row r="25" spans="1:9" x14ac:dyDescent="0.25">
      <c r="A25" s="13"/>
      <c r="B25" s="13"/>
      <c r="C25" s="13"/>
      <c r="D25" s="13"/>
      <c r="E25" s="13"/>
    </row>
    <row r="26" spans="1:9" x14ac:dyDescent="0.25">
      <c r="A26" s="13"/>
      <c r="B26" s="13"/>
      <c r="C26" s="13"/>
      <c r="D26" s="13"/>
      <c r="E26" s="13"/>
    </row>
    <row r="31" spans="1:9" x14ac:dyDescent="0.25">
      <c r="E31" s="38"/>
    </row>
    <row r="33" spans="1:5" x14ac:dyDescent="0.25">
      <c r="A33" s="39"/>
      <c r="B33" s="39"/>
      <c r="C33" s="13"/>
      <c r="D33" s="24"/>
      <c r="E33" s="13"/>
    </row>
  </sheetData>
  <mergeCells count="6">
    <mergeCell ref="A23:C23"/>
    <mergeCell ref="E3:F3"/>
    <mergeCell ref="E2:F2"/>
    <mergeCell ref="I3:I5"/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view="pageBreakPreview" zoomScale="82" zoomScaleNormal="100" zoomScaleSheetLayoutView="82" workbookViewId="0">
      <selection activeCell="K10" sqref="K10"/>
    </sheetView>
  </sheetViews>
  <sheetFormatPr defaultColWidth="22.28515625" defaultRowHeight="15" x14ac:dyDescent="0.25"/>
  <cols>
    <col min="1" max="1" width="7.5703125" customWidth="1"/>
    <col min="2" max="2" width="8.42578125" customWidth="1"/>
    <col min="3" max="3" width="15.140625" customWidth="1"/>
    <col min="5" max="5" width="17.85546875" customWidth="1"/>
    <col min="7" max="7" width="20.140625" customWidth="1"/>
    <col min="8" max="8" width="20.7109375" customWidth="1"/>
    <col min="9" max="9" width="19.28515625" customWidth="1"/>
  </cols>
  <sheetData>
    <row r="1" spans="1:9" ht="19.149999999999999" customHeight="1" x14ac:dyDescent="0.25">
      <c r="A1" s="392" t="s">
        <v>218</v>
      </c>
      <c r="B1" s="393"/>
      <c r="C1" s="393"/>
      <c r="D1" s="393"/>
      <c r="E1" s="393"/>
      <c r="F1" s="393"/>
      <c r="G1" s="393"/>
      <c r="H1" s="393"/>
      <c r="I1" s="393"/>
    </row>
    <row r="2" spans="1:9" ht="36" customHeight="1" x14ac:dyDescent="0.25">
      <c r="A2" s="459" t="s">
        <v>0</v>
      </c>
      <c r="B2" s="459" t="s">
        <v>108</v>
      </c>
      <c r="C2" s="459" t="s">
        <v>1</v>
      </c>
      <c r="D2" s="459" t="s">
        <v>2</v>
      </c>
      <c r="E2" s="459" t="s">
        <v>219</v>
      </c>
      <c r="F2" s="459"/>
      <c r="G2" s="452" t="s">
        <v>79</v>
      </c>
      <c r="H2" s="452" t="s">
        <v>71</v>
      </c>
      <c r="I2" s="453" t="s">
        <v>57</v>
      </c>
    </row>
    <row r="3" spans="1:9" ht="19.149999999999999" customHeight="1" x14ac:dyDescent="0.25">
      <c r="A3" s="459"/>
      <c r="B3" s="459"/>
      <c r="C3" s="459"/>
      <c r="D3" s="459"/>
      <c r="E3" s="197" t="s">
        <v>93</v>
      </c>
      <c r="F3" s="196" t="s">
        <v>94</v>
      </c>
      <c r="G3" s="452"/>
      <c r="H3" s="452"/>
      <c r="I3" s="460"/>
    </row>
    <row r="4" spans="1:9" ht="49.15" customHeight="1" x14ac:dyDescent="0.25">
      <c r="A4" s="459"/>
      <c r="B4" s="459"/>
      <c r="C4" s="459"/>
      <c r="D4" s="459"/>
      <c r="E4" s="197" t="s">
        <v>95</v>
      </c>
      <c r="F4" s="196" t="s">
        <v>96</v>
      </c>
      <c r="G4" s="196" t="s">
        <v>97</v>
      </c>
      <c r="H4" s="259" t="s">
        <v>99</v>
      </c>
      <c r="I4" s="460"/>
    </row>
    <row r="5" spans="1:9" ht="38.25" customHeight="1" x14ac:dyDescent="0.25">
      <c r="A5" s="182" t="s">
        <v>8</v>
      </c>
      <c r="B5" s="182" t="s">
        <v>9</v>
      </c>
      <c r="C5" s="182" t="s">
        <v>10</v>
      </c>
      <c r="D5" s="186" t="s">
        <v>11</v>
      </c>
      <c r="E5" s="174">
        <v>0</v>
      </c>
      <c r="F5" s="174">
        <v>0</v>
      </c>
      <c r="G5" s="147" t="s">
        <v>98</v>
      </c>
      <c r="H5" s="147">
        <v>1</v>
      </c>
      <c r="I5" s="187">
        <f>H5*5</f>
        <v>5</v>
      </c>
    </row>
    <row r="6" spans="1:9" ht="42.75" customHeight="1" x14ac:dyDescent="0.25">
      <c r="A6" s="182" t="s">
        <v>15</v>
      </c>
      <c r="B6" s="182" t="s">
        <v>12</v>
      </c>
      <c r="C6" s="182" t="s">
        <v>13</v>
      </c>
      <c r="D6" s="186" t="s">
        <v>14</v>
      </c>
      <c r="E6" s="174">
        <v>427117800</v>
      </c>
      <c r="F6" s="174">
        <v>407877403.27999997</v>
      </c>
      <c r="G6" s="374">
        <f>(F6/E6)*100</f>
        <v>95.495295040384633</v>
      </c>
      <c r="H6" s="147">
        <v>0</v>
      </c>
      <c r="I6" s="187">
        <f>H6*5</f>
        <v>0</v>
      </c>
    </row>
    <row r="7" spans="1:9" ht="25.5" x14ac:dyDescent="0.25">
      <c r="A7" s="182" t="s">
        <v>16</v>
      </c>
      <c r="B7" s="182" t="s">
        <v>22</v>
      </c>
      <c r="C7" s="182" t="s">
        <v>23</v>
      </c>
      <c r="D7" s="186" t="s">
        <v>24</v>
      </c>
      <c r="E7" s="174">
        <v>0</v>
      </c>
      <c r="F7" s="174">
        <v>0</v>
      </c>
      <c r="G7" s="147" t="s">
        <v>98</v>
      </c>
      <c r="H7" s="147">
        <v>1</v>
      </c>
      <c r="I7" s="187">
        <f t="shared" ref="I7:I16" si="0">H7*5</f>
        <v>5</v>
      </c>
    </row>
    <row r="8" spans="1:9" ht="29.45" customHeight="1" x14ac:dyDescent="0.25">
      <c r="A8" s="182" t="s">
        <v>17</v>
      </c>
      <c r="B8" s="182" t="s">
        <v>25</v>
      </c>
      <c r="C8" s="182" t="s">
        <v>26</v>
      </c>
      <c r="D8" s="186" t="s">
        <v>27</v>
      </c>
      <c r="E8" s="174">
        <v>0</v>
      </c>
      <c r="F8" s="174">
        <v>0</v>
      </c>
      <c r="G8" s="147" t="s">
        <v>98</v>
      </c>
      <c r="H8" s="147">
        <v>1</v>
      </c>
      <c r="I8" s="187">
        <f t="shared" si="0"/>
        <v>5</v>
      </c>
    </row>
    <row r="9" spans="1:9" ht="41.45" customHeight="1" x14ac:dyDescent="0.25">
      <c r="A9" s="182" t="s">
        <v>18</v>
      </c>
      <c r="B9" s="182" t="s">
        <v>28</v>
      </c>
      <c r="C9" s="182" t="s">
        <v>29</v>
      </c>
      <c r="D9" s="186" t="s">
        <v>30</v>
      </c>
      <c r="E9" s="174">
        <v>0</v>
      </c>
      <c r="F9" s="174">
        <v>0</v>
      </c>
      <c r="G9" s="147" t="s">
        <v>98</v>
      </c>
      <c r="H9" s="147">
        <v>1</v>
      </c>
      <c r="I9" s="187">
        <f t="shared" si="0"/>
        <v>5</v>
      </c>
    </row>
    <row r="10" spans="1:9" ht="44.45" customHeight="1" x14ac:dyDescent="0.25">
      <c r="A10" s="182" t="s">
        <v>19</v>
      </c>
      <c r="B10" s="182" t="s">
        <v>31</v>
      </c>
      <c r="C10" s="182" t="s">
        <v>32</v>
      </c>
      <c r="D10" s="186" t="s">
        <v>33</v>
      </c>
      <c r="E10" s="174">
        <v>275800</v>
      </c>
      <c r="F10" s="174">
        <v>275800</v>
      </c>
      <c r="G10" s="147" t="s">
        <v>98</v>
      </c>
      <c r="H10" s="147">
        <v>1</v>
      </c>
      <c r="I10" s="187">
        <f t="shared" si="0"/>
        <v>5</v>
      </c>
    </row>
    <row r="11" spans="1:9" ht="15.75" x14ac:dyDescent="0.25">
      <c r="A11" s="182" t="s">
        <v>20</v>
      </c>
      <c r="B11" s="182" t="s">
        <v>34</v>
      </c>
      <c r="C11" s="182" t="s">
        <v>35</v>
      </c>
      <c r="D11" s="186" t="s">
        <v>36</v>
      </c>
      <c r="E11" s="174">
        <v>152001000</v>
      </c>
      <c r="F11" s="174">
        <v>131374527.19</v>
      </c>
      <c r="G11" s="147">
        <f t="shared" ref="G11:G16" si="1">(F11/E11)*100</f>
        <v>86.430041374727793</v>
      </c>
      <c r="H11" s="147">
        <v>0</v>
      </c>
      <c r="I11" s="187">
        <f t="shared" si="0"/>
        <v>0</v>
      </c>
    </row>
    <row r="12" spans="1:9" ht="27" customHeight="1" x14ac:dyDescent="0.25">
      <c r="A12" s="182" t="s">
        <v>21</v>
      </c>
      <c r="B12" s="182" t="s">
        <v>40</v>
      </c>
      <c r="C12" s="182" t="s">
        <v>38</v>
      </c>
      <c r="D12" s="186" t="s">
        <v>39</v>
      </c>
      <c r="E12" s="174">
        <v>1366211400</v>
      </c>
      <c r="F12" s="174">
        <v>1325387947.8299999</v>
      </c>
      <c r="G12" s="147">
        <f t="shared" si="1"/>
        <v>97.011922739775116</v>
      </c>
      <c r="H12" s="147">
        <v>1</v>
      </c>
      <c r="I12" s="187">
        <f>H12*5</f>
        <v>5</v>
      </c>
    </row>
    <row r="13" spans="1:9" ht="25.5" x14ac:dyDescent="0.25">
      <c r="A13" s="188">
        <v>9</v>
      </c>
      <c r="B13" s="182" t="s">
        <v>41</v>
      </c>
      <c r="C13" s="182" t="s">
        <v>42</v>
      </c>
      <c r="D13" s="186" t="s">
        <v>43</v>
      </c>
      <c r="E13" s="174">
        <v>5335900</v>
      </c>
      <c r="F13" s="174">
        <v>5275366.76</v>
      </c>
      <c r="G13" s="147">
        <f t="shared" si="1"/>
        <v>98.86554770516689</v>
      </c>
      <c r="H13" s="147">
        <v>1</v>
      </c>
      <c r="I13" s="187">
        <f t="shared" si="0"/>
        <v>5</v>
      </c>
    </row>
    <row r="14" spans="1:9" ht="38.25" x14ac:dyDescent="0.25">
      <c r="A14" s="188">
        <v>10</v>
      </c>
      <c r="B14" s="182" t="s">
        <v>44</v>
      </c>
      <c r="C14" s="182" t="s">
        <v>45</v>
      </c>
      <c r="D14" s="186" t="s">
        <v>46</v>
      </c>
      <c r="E14" s="174">
        <v>5117800</v>
      </c>
      <c r="F14" s="174">
        <v>5117774.3600000003</v>
      </c>
      <c r="G14" s="147">
        <f t="shared" si="1"/>
        <v>99.999499003478064</v>
      </c>
      <c r="H14" s="147">
        <v>1</v>
      </c>
      <c r="I14" s="187">
        <f t="shared" si="0"/>
        <v>5</v>
      </c>
    </row>
    <row r="15" spans="1:9" ht="27" customHeight="1" x14ac:dyDescent="0.25">
      <c r="A15" s="188">
        <v>11</v>
      </c>
      <c r="B15" s="182" t="s">
        <v>47</v>
      </c>
      <c r="C15" s="182" t="s">
        <v>48</v>
      </c>
      <c r="D15" s="186" t="s">
        <v>49</v>
      </c>
      <c r="E15" s="174">
        <v>0</v>
      </c>
      <c r="F15" s="174">
        <v>0</v>
      </c>
      <c r="G15" s="147" t="s">
        <v>98</v>
      </c>
      <c r="H15" s="147">
        <v>1</v>
      </c>
      <c r="I15" s="187">
        <f t="shared" si="0"/>
        <v>5</v>
      </c>
    </row>
    <row r="16" spans="1:9" ht="29.45" customHeight="1" x14ac:dyDescent="0.25">
      <c r="A16" s="182" t="s">
        <v>37</v>
      </c>
      <c r="B16" s="182" t="s">
        <v>50</v>
      </c>
      <c r="C16" s="182" t="s">
        <v>51</v>
      </c>
      <c r="D16" s="186" t="s">
        <v>52</v>
      </c>
      <c r="E16" s="174">
        <v>104385500</v>
      </c>
      <c r="F16" s="174">
        <v>103761318.81</v>
      </c>
      <c r="G16" s="147">
        <f t="shared" si="1"/>
        <v>99.402042247246996</v>
      </c>
      <c r="H16" s="147">
        <v>1</v>
      </c>
      <c r="I16" s="187">
        <f t="shared" si="0"/>
        <v>5</v>
      </c>
    </row>
    <row r="17" spans="1:12" ht="15.75" x14ac:dyDescent="0.25">
      <c r="A17" s="461" t="s">
        <v>58</v>
      </c>
      <c r="B17" s="423"/>
      <c r="C17" s="423"/>
      <c r="D17" s="462"/>
      <c r="E17" s="272">
        <f>E5+E6+E7+E8+E9+E10+E11+E12+E13+E14+E15+E16</f>
        <v>2060445200</v>
      </c>
      <c r="F17" s="272">
        <f t="shared" ref="F17:I17" si="2">F5+F6+F7+F8+F9+F10+F11+F12+F13+F14+F15+F16</f>
        <v>1979070138.2299998</v>
      </c>
      <c r="G17" s="272"/>
      <c r="H17" s="279">
        <f>H5+H6+H7+H8+H9+H10+H11+H12+H13+H14+H15+H16</f>
        <v>10</v>
      </c>
      <c r="I17" s="279">
        <f t="shared" si="2"/>
        <v>50</v>
      </c>
    </row>
    <row r="18" spans="1:12" ht="15.75" x14ac:dyDescent="0.25">
      <c r="A18" s="425" t="s">
        <v>185</v>
      </c>
      <c r="B18" s="426"/>
      <c r="C18" s="426"/>
      <c r="D18" s="427"/>
      <c r="E18" s="262"/>
      <c r="F18" s="263"/>
      <c r="G18" s="271"/>
      <c r="H18" s="271">
        <f>H17/12</f>
        <v>0.83333333333333337</v>
      </c>
      <c r="I18" s="271">
        <f t="shared" ref="I18" si="3">I17/12</f>
        <v>4.166666666666667</v>
      </c>
    </row>
    <row r="19" spans="1:12" ht="44.45" customHeight="1" x14ac:dyDescent="0.25">
      <c r="A19" s="458" t="s">
        <v>100</v>
      </c>
      <c r="B19" s="458"/>
      <c r="C19" s="458"/>
      <c r="D19" s="458"/>
      <c r="E19" s="458"/>
      <c r="F19" s="458"/>
      <c r="G19" s="458"/>
      <c r="H19" s="458"/>
      <c r="I19" s="458"/>
      <c r="J19" s="184"/>
      <c r="K19" s="184"/>
      <c r="L19" s="184"/>
    </row>
    <row r="20" spans="1:12" ht="15.75" x14ac:dyDescent="0.25">
      <c r="A20" s="13"/>
      <c r="B20" s="13"/>
      <c r="C20" s="13"/>
      <c r="D20" s="13"/>
      <c r="E20" s="37"/>
      <c r="F20" s="15"/>
      <c r="G20" s="15"/>
      <c r="H20" s="15"/>
      <c r="I20" s="15"/>
    </row>
    <row r="21" spans="1:12" ht="15.75" x14ac:dyDescent="0.25">
      <c r="A21" s="398" t="s">
        <v>203</v>
      </c>
      <c r="B21" s="398"/>
      <c r="C21" s="398"/>
      <c r="D21" s="398"/>
      <c r="E21" s="398"/>
      <c r="F21" s="398"/>
      <c r="G21" s="398"/>
      <c r="H21" s="398"/>
      <c r="I21" s="398"/>
    </row>
  </sheetData>
  <mergeCells count="13">
    <mergeCell ref="A19:I19"/>
    <mergeCell ref="A1:I1"/>
    <mergeCell ref="E2:F2"/>
    <mergeCell ref="I2:I4"/>
    <mergeCell ref="A21:I21"/>
    <mergeCell ref="A2:A4"/>
    <mergeCell ref="B2:B4"/>
    <mergeCell ref="C2:C4"/>
    <mergeCell ref="D2:D4"/>
    <mergeCell ref="G2:G3"/>
    <mergeCell ref="H2:H3"/>
    <mergeCell ref="A17:D17"/>
    <mergeCell ref="A18:D18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T33"/>
  <sheetViews>
    <sheetView view="pageBreakPreview" zoomScale="80" zoomScaleNormal="100" zoomScaleSheetLayoutView="80" workbookViewId="0">
      <selection activeCell="K7" sqref="K7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14.7109375" style="15" customWidth="1"/>
    <col min="6" max="6" width="19.140625" style="15" customWidth="1"/>
    <col min="7" max="7" width="11.85546875" style="15" customWidth="1"/>
    <col min="8" max="8" width="16.42578125" style="15" customWidth="1"/>
    <col min="9" max="9" width="18.5703125" style="15" customWidth="1"/>
    <col min="10" max="10" width="16" style="15" customWidth="1"/>
    <col min="11" max="11" width="14.140625" style="15" customWidth="1"/>
    <col min="12" max="12" width="12.5703125" style="15" customWidth="1"/>
    <col min="13" max="16384" width="9.140625" style="15"/>
  </cols>
  <sheetData>
    <row r="1" spans="1:176" ht="18.75" customHeight="1" thickBot="1" x14ac:dyDescent="0.3">
      <c r="A1" s="463" t="s">
        <v>118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76" ht="16.5" thickBot="1" x14ac:dyDescent="0.3">
      <c r="D2" s="207" t="s">
        <v>75</v>
      </c>
      <c r="E2" s="124" t="s">
        <v>205</v>
      </c>
      <c r="F2" s="125"/>
      <c r="G2" s="126"/>
      <c r="H2" s="464" t="s">
        <v>206</v>
      </c>
      <c r="I2" s="464"/>
    </row>
    <row r="3" spans="1:176" ht="31.5" customHeight="1" thickBot="1" x14ac:dyDescent="0.3">
      <c r="A3" s="69" t="s">
        <v>0</v>
      </c>
      <c r="B3" s="49"/>
      <c r="C3" s="50" t="s">
        <v>1</v>
      </c>
      <c r="D3" s="110" t="s">
        <v>2</v>
      </c>
      <c r="E3" s="465"/>
      <c r="F3" s="466"/>
      <c r="G3" s="115"/>
      <c r="H3" s="467"/>
      <c r="I3" s="444"/>
      <c r="J3" s="105"/>
      <c r="K3" s="445" t="s">
        <v>125</v>
      </c>
      <c r="L3" s="445" t="s">
        <v>57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</row>
    <row r="4" spans="1:176" ht="48" customHeight="1" thickBot="1" x14ac:dyDescent="0.3">
      <c r="A4" s="49"/>
      <c r="B4" s="70"/>
      <c r="C4" s="70"/>
      <c r="D4" s="111"/>
      <c r="E4" s="211" t="s">
        <v>119</v>
      </c>
      <c r="F4" s="210" t="s">
        <v>120</v>
      </c>
      <c r="G4" s="132" t="s">
        <v>79</v>
      </c>
      <c r="H4" s="119" t="s">
        <v>119</v>
      </c>
      <c r="I4" s="71" t="s">
        <v>120</v>
      </c>
      <c r="J4" s="106" t="s">
        <v>79</v>
      </c>
      <c r="K4" s="468"/>
      <c r="L4" s="446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</row>
    <row r="5" spans="1:176" ht="36.75" customHeight="1" thickBot="1" x14ac:dyDescent="0.3">
      <c r="A5" s="81"/>
      <c r="B5" s="51"/>
      <c r="C5" s="51"/>
      <c r="D5" s="68"/>
      <c r="E5" s="212" t="s">
        <v>121</v>
      </c>
      <c r="F5" s="213" t="s">
        <v>122</v>
      </c>
      <c r="G5" s="214" t="s">
        <v>123</v>
      </c>
      <c r="H5" s="120" t="s">
        <v>121</v>
      </c>
      <c r="I5" s="68" t="s">
        <v>122</v>
      </c>
      <c r="J5" s="107" t="s">
        <v>123</v>
      </c>
      <c r="K5" s="469"/>
      <c r="L5" s="446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</row>
    <row r="6" spans="1:176" ht="16.5" thickBot="1" x14ac:dyDescent="0.3">
      <c r="A6" s="82" t="s">
        <v>8</v>
      </c>
      <c r="B6" s="54" t="s">
        <v>9</v>
      </c>
      <c r="C6" s="55" t="s">
        <v>10</v>
      </c>
      <c r="D6" s="112" t="s">
        <v>11</v>
      </c>
      <c r="E6" s="121">
        <v>0</v>
      </c>
      <c r="F6" s="4">
        <v>4460331.91</v>
      </c>
      <c r="G6" s="116">
        <f>E6/F6*100</f>
        <v>0</v>
      </c>
      <c r="H6" s="121">
        <v>0</v>
      </c>
      <c r="I6" s="4">
        <v>5455206</v>
      </c>
      <c r="J6" s="108">
        <f>H6/I6*100</f>
        <v>0</v>
      </c>
      <c r="K6" s="103">
        <f>IF(J6&gt;10,0,1-(J6/100))</f>
        <v>1</v>
      </c>
      <c r="L6" s="231">
        <v>5</v>
      </c>
    </row>
    <row r="7" spans="1:176" ht="18.75" customHeight="1" thickBot="1" x14ac:dyDescent="0.3">
      <c r="A7" s="56" t="s">
        <v>15</v>
      </c>
      <c r="B7" s="57" t="s">
        <v>12</v>
      </c>
      <c r="C7" s="58" t="s">
        <v>13</v>
      </c>
      <c r="D7" s="113" t="s">
        <v>14</v>
      </c>
      <c r="E7" s="104">
        <v>9230850.2200000007</v>
      </c>
      <c r="F7" s="2">
        <v>738566033.29999995</v>
      </c>
      <c r="G7" s="116">
        <f t="shared" ref="G7:G17" si="0">E7/F7*100</f>
        <v>1.2498341114816065</v>
      </c>
      <c r="H7" s="104">
        <v>8706716.0500000007</v>
      </c>
      <c r="I7" s="2">
        <v>1024914144.25</v>
      </c>
      <c r="J7" s="108">
        <f t="shared" ref="J7:J17" si="1">H7/I7*100</f>
        <v>0.84950686834079181</v>
      </c>
      <c r="K7" s="103">
        <f>IF(J7&gt;10,0,1-(J7/100))</f>
        <v>0.99150493131659212</v>
      </c>
      <c r="L7" s="109">
        <f>K7*5</f>
        <v>4.9575246565829607</v>
      </c>
    </row>
    <row r="8" spans="1:176" ht="16.5" thickBot="1" x14ac:dyDescent="0.3">
      <c r="A8" s="56" t="s">
        <v>16</v>
      </c>
      <c r="B8" s="57" t="s">
        <v>22</v>
      </c>
      <c r="C8" s="58" t="s">
        <v>23</v>
      </c>
      <c r="D8" s="113" t="s">
        <v>24</v>
      </c>
      <c r="E8" s="122">
        <v>0</v>
      </c>
      <c r="F8" s="2">
        <v>24007242.289999999</v>
      </c>
      <c r="G8" s="116">
        <f t="shared" si="0"/>
        <v>0</v>
      </c>
      <c r="H8" s="122">
        <v>0</v>
      </c>
      <c r="I8" s="2">
        <v>27769996.920000002</v>
      </c>
      <c r="J8" s="108">
        <f t="shared" si="1"/>
        <v>0</v>
      </c>
      <c r="K8" s="104">
        <f t="shared" ref="K8:K17" si="2">IF(J8&gt;10,0,1-(J8/100))</f>
        <v>1</v>
      </c>
      <c r="L8" s="109">
        <v>5</v>
      </c>
    </row>
    <row r="9" spans="1:176" ht="32.25" thickBot="1" x14ac:dyDescent="0.3">
      <c r="A9" s="56" t="s">
        <v>17</v>
      </c>
      <c r="B9" s="57" t="s">
        <v>25</v>
      </c>
      <c r="C9" s="58" t="s">
        <v>26</v>
      </c>
      <c r="D9" s="113" t="s">
        <v>27</v>
      </c>
      <c r="E9" s="104">
        <v>0</v>
      </c>
      <c r="F9" s="2">
        <v>3862649.68</v>
      </c>
      <c r="G9" s="116">
        <f t="shared" si="0"/>
        <v>0</v>
      </c>
      <c r="H9" s="104">
        <v>0</v>
      </c>
      <c r="I9" s="2">
        <v>4666716.67</v>
      </c>
      <c r="J9" s="108">
        <f t="shared" si="1"/>
        <v>0</v>
      </c>
      <c r="K9" s="104">
        <f t="shared" si="2"/>
        <v>1</v>
      </c>
      <c r="L9" s="109">
        <v>5</v>
      </c>
    </row>
    <row r="10" spans="1:176" ht="32.25" thickBot="1" x14ac:dyDescent="0.3">
      <c r="A10" s="56" t="s">
        <v>18</v>
      </c>
      <c r="B10" s="57" t="s">
        <v>28</v>
      </c>
      <c r="C10" s="58" t="s">
        <v>29</v>
      </c>
      <c r="D10" s="113" t="s">
        <v>30</v>
      </c>
      <c r="E10" s="122">
        <v>0</v>
      </c>
      <c r="F10" s="2">
        <v>6065125.2599999998</v>
      </c>
      <c r="G10" s="116">
        <f t="shared" si="0"/>
        <v>0</v>
      </c>
      <c r="H10" s="122">
        <v>0</v>
      </c>
      <c r="I10" s="2">
        <v>7225523.2999999998</v>
      </c>
      <c r="J10" s="108">
        <f t="shared" si="1"/>
        <v>0</v>
      </c>
      <c r="K10" s="104">
        <f t="shared" si="2"/>
        <v>1</v>
      </c>
      <c r="L10" s="109">
        <v>5</v>
      </c>
    </row>
    <row r="11" spans="1:176" ht="19.5" customHeight="1" thickBot="1" x14ac:dyDescent="0.3">
      <c r="A11" s="56" t="s">
        <v>19</v>
      </c>
      <c r="B11" s="57" t="s">
        <v>31</v>
      </c>
      <c r="C11" s="58" t="s">
        <v>32</v>
      </c>
      <c r="D11" s="113" t="s">
        <v>33</v>
      </c>
      <c r="E11" s="122">
        <v>0</v>
      </c>
      <c r="F11" s="2">
        <v>4113996.31</v>
      </c>
      <c r="G11" s="116">
        <f t="shared" si="0"/>
        <v>0</v>
      </c>
      <c r="H11" s="122">
        <v>0</v>
      </c>
      <c r="I11" s="2">
        <v>5320560.55</v>
      </c>
      <c r="J11" s="108">
        <f t="shared" si="1"/>
        <v>0</v>
      </c>
      <c r="K11" s="104">
        <f t="shared" si="2"/>
        <v>1</v>
      </c>
      <c r="L11" s="109">
        <v>5</v>
      </c>
    </row>
    <row r="12" spans="1:176" ht="16.5" thickBot="1" x14ac:dyDescent="0.3">
      <c r="A12" s="56" t="s">
        <v>20</v>
      </c>
      <c r="B12" s="57" t="s">
        <v>34</v>
      </c>
      <c r="C12" s="58" t="s">
        <v>35</v>
      </c>
      <c r="D12" s="113" t="s">
        <v>36</v>
      </c>
      <c r="E12" s="104">
        <v>168077.24</v>
      </c>
      <c r="F12" s="2">
        <v>142867723.84</v>
      </c>
      <c r="G12" s="116">
        <f t="shared" si="0"/>
        <v>0.11764535437565489</v>
      </c>
      <c r="H12" s="104">
        <v>970110.28</v>
      </c>
      <c r="I12" s="2">
        <v>24449825.32</v>
      </c>
      <c r="J12" s="108">
        <f t="shared" si="1"/>
        <v>3.9677595537112005</v>
      </c>
      <c r="K12" s="104">
        <v>0</v>
      </c>
      <c r="L12" s="109">
        <v>0</v>
      </c>
    </row>
    <row r="13" spans="1:176" ht="16.5" thickBot="1" x14ac:dyDescent="0.3">
      <c r="A13" s="56" t="s">
        <v>21</v>
      </c>
      <c r="B13" s="57" t="s">
        <v>40</v>
      </c>
      <c r="C13" s="58" t="s">
        <v>38</v>
      </c>
      <c r="D13" s="113" t="s">
        <v>39</v>
      </c>
      <c r="E13" s="122">
        <v>0</v>
      </c>
      <c r="F13" s="2">
        <v>1759092302.4200001</v>
      </c>
      <c r="G13" s="116">
        <f t="shared" si="0"/>
        <v>0</v>
      </c>
      <c r="H13" s="122">
        <v>0</v>
      </c>
      <c r="I13" s="2">
        <v>2140733502</v>
      </c>
      <c r="J13" s="108">
        <f t="shared" si="1"/>
        <v>0</v>
      </c>
      <c r="K13" s="104">
        <f t="shared" si="2"/>
        <v>1</v>
      </c>
      <c r="L13" s="109">
        <v>5</v>
      </c>
    </row>
    <row r="14" spans="1:176" ht="16.5" thickBot="1" x14ac:dyDescent="0.3">
      <c r="A14" s="60">
        <v>9</v>
      </c>
      <c r="B14" s="57" t="s">
        <v>41</v>
      </c>
      <c r="C14" s="58" t="s">
        <v>42</v>
      </c>
      <c r="D14" s="113" t="s">
        <v>43</v>
      </c>
      <c r="E14" s="104">
        <v>15157</v>
      </c>
      <c r="F14" s="2">
        <v>120297530.34</v>
      </c>
      <c r="G14" s="116">
        <f t="shared" si="0"/>
        <v>1.2599593655132722E-2</v>
      </c>
      <c r="H14" s="104">
        <v>0</v>
      </c>
      <c r="I14" s="2">
        <v>141909469.49000001</v>
      </c>
      <c r="J14" s="108">
        <f t="shared" si="1"/>
        <v>0</v>
      </c>
      <c r="K14" s="104">
        <f t="shared" si="2"/>
        <v>1</v>
      </c>
      <c r="L14" s="109">
        <v>5</v>
      </c>
    </row>
    <row r="15" spans="1:176" ht="16.5" thickBot="1" x14ac:dyDescent="0.3">
      <c r="A15" s="60">
        <v>10</v>
      </c>
      <c r="B15" s="57" t="s">
        <v>44</v>
      </c>
      <c r="C15" s="58" t="s">
        <v>45</v>
      </c>
      <c r="D15" s="113" t="s">
        <v>46</v>
      </c>
      <c r="E15" s="104">
        <v>2.74</v>
      </c>
      <c r="F15" s="2">
        <v>25126134.140000001</v>
      </c>
      <c r="G15" s="116">
        <f t="shared" si="0"/>
        <v>1.090498038708632E-5</v>
      </c>
      <c r="H15" s="104">
        <v>0</v>
      </c>
      <c r="I15" s="2">
        <v>95102368.230000004</v>
      </c>
      <c r="J15" s="108">
        <f t="shared" si="1"/>
        <v>0</v>
      </c>
      <c r="K15" s="104">
        <f t="shared" si="2"/>
        <v>1</v>
      </c>
      <c r="L15" s="109">
        <v>5</v>
      </c>
    </row>
    <row r="16" spans="1:176" ht="16.5" thickBot="1" x14ac:dyDescent="0.3">
      <c r="A16" s="60">
        <v>11</v>
      </c>
      <c r="B16" s="57" t="s">
        <v>47</v>
      </c>
      <c r="C16" s="58" t="s">
        <v>48</v>
      </c>
      <c r="D16" s="113" t="s">
        <v>49</v>
      </c>
      <c r="E16" s="122">
        <v>0</v>
      </c>
      <c r="F16" s="2">
        <v>14636634.529999999</v>
      </c>
      <c r="G16" s="116">
        <f t="shared" si="0"/>
        <v>0</v>
      </c>
      <c r="H16" s="122">
        <v>0</v>
      </c>
      <c r="I16" s="2">
        <v>19241367.48</v>
      </c>
      <c r="J16" s="108">
        <f t="shared" si="1"/>
        <v>0</v>
      </c>
      <c r="K16" s="104">
        <f t="shared" si="2"/>
        <v>1</v>
      </c>
      <c r="L16" s="109">
        <v>5</v>
      </c>
    </row>
    <row r="17" spans="1:12" ht="35.25" customHeight="1" thickBot="1" x14ac:dyDescent="0.3">
      <c r="A17" s="56" t="s">
        <v>37</v>
      </c>
      <c r="B17" s="57" t="s">
        <v>50</v>
      </c>
      <c r="C17" s="58" t="s">
        <v>51</v>
      </c>
      <c r="D17" s="113" t="s">
        <v>52</v>
      </c>
      <c r="E17" s="122">
        <v>0</v>
      </c>
      <c r="F17" s="2">
        <v>99741033.459999993</v>
      </c>
      <c r="G17" s="116">
        <f t="shared" si="0"/>
        <v>0</v>
      </c>
      <c r="H17" s="122">
        <v>0</v>
      </c>
      <c r="I17" s="2">
        <v>104922173.12</v>
      </c>
      <c r="J17" s="108">
        <f t="shared" si="1"/>
        <v>0</v>
      </c>
      <c r="K17" s="104">
        <f t="shared" si="2"/>
        <v>1</v>
      </c>
      <c r="L17" s="109">
        <v>5</v>
      </c>
    </row>
    <row r="18" spans="1:12" s="64" customFormat="1" ht="16.5" thickBot="1" x14ac:dyDescent="0.3">
      <c r="A18" s="61" t="s">
        <v>37</v>
      </c>
      <c r="B18" s="62"/>
      <c r="C18" s="63"/>
      <c r="D18" s="114" t="s">
        <v>58</v>
      </c>
      <c r="E18" s="117">
        <f>E6+E7+E8+E9+E10+E11+E12+E13+E14+E15+E16+E17</f>
        <v>9414087.2000000011</v>
      </c>
      <c r="F18" s="118">
        <f>F6+F7+F8+F9+F10+F11+F12+F13+F14+F15+F16+F17</f>
        <v>2942836737.48</v>
      </c>
      <c r="G18" s="116">
        <f t="shared" ref="G18" si="3">E18/F18*100</f>
        <v>0.31989838512283353</v>
      </c>
      <c r="H18" s="123">
        <f>H6+H7+H8+H9+H10+H11+H12+H13+H14+H15+H16+H17</f>
        <v>9676826.3300000001</v>
      </c>
      <c r="I18" s="19">
        <f>I6+I7+I8+I9+I10+I11+I12+I13+I14+I15+I16+I17</f>
        <v>3601710853.3299999</v>
      </c>
      <c r="J18" s="108">
        <f t="shared" ref="J18" si="4">H18/I18*100</f>
        <v>0.26867304800587161</v>
      </c>
      <c r="K18" s="232">
        <v>1</v>
      </c>
      <c r="L18" s="233">
        <v>5</v>
      </c>
    </row>
    <row r="19" spans="1:12" ht="15.6" x14ac:dyDescent="0.3">
      <c r="E19" s="127"/>
      <c r="F19" s="128"/>
      <c r="G19" s="129"/>
      <c r="K19" s="80"/>
    </row>
    <row r="20" spans="1:12" ht="16.5" thickBot="1" x14ac:dyDescent="0.3">
      <c r="D20" s="15" t="s">
        <v>55</v>
      </c>
      <c r="E20" s="130"/>
      <c r="F20" s="131"/>
      <c r="G20" s="133">
        <f>G18/A18</f>
        <v>2.6658198760236129E-2</v>
      </c>
      <c r="J20" s="134">
        <f>J18/A18</f>
        <v>2.2389420667155966E-2</v>
      </c>
    </row>
    <row r="21" spans="1:12" ht="15.6" x14ac:dyDescent="0.3">
      <c r="H21" s="65"/>
    </row>
    <row r="23" spans="1:12" x14ac:dyDescent="0.25">
      <c r="A23" s="398" t="s">
        <v>204</v>
      </c>
      <c r="B23" s="398"/>
      <c r="C23" s="398"/>
      <c r="D23" s="398"/>
      <c r="E23" s="398"/>
      <c r="F23" s="398"/>
      <c r="G23" s="398"/>
      <c r="H23" s="398"/>
      <c r="I23" s="398"/>
    </row>
    <row r="24" spans="1:12" x14ac:dyDescent="0.25">
      <c r="A24" s="448"/>
      <c r="B24" s="398"/>
      <c r="C24" s="449"/>
    </row>
    <row r="31" spans="1:12" x14ac:dyDescent="0.25">
      <c r="H31" s="66"/>
    </row>
    <row r="33" spans="1:7" x14ac:dyDescent="0.25">
      <c r="A33" s="67"/>
      <c r="B33" s="67"/>
      <c r="D33" s="48"/>
      <c r="E33" s="48"/>
      <c r="F33" s="48"/>
      <c r="G33" s="48"/>
    </row>
  </sheetData>
  <mergeCells count="8">
    <mergeCell ref="A23:I23"/>
    <mergeCell ref="A24:C24"/>
    <mergeCell ref="A1:L1"/>
    <mergeCell ref="H2:I2"/>
    <mergeCell ref="E3:F3"/>
    <mergeCell ref="H3:I3"/>
    <mergeCell ref="K3:K5"/>
    <mergeCell ref="L3:L5"/>
  </mergeCell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22"/>
  <sheetViews>
    <sheetView view="pageBreakPreview" zoomScale="74" zoomScaleNormal="100" zoomScaleSheetLayoutView="74" workbookViewId="0">
      <selection activeCell="G11" sqref="G11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26.7109375" customWidth="1"/>
    <col min="6" max="6" width="24.42578125" customWidth="1"/>
    <col min="7" max="7" width="14" customWidth="1"/>
  </cols>
  <sheetData>
    <row r="2" spans="1:7" x14ac:dyDescent="0.25">
      <c r="A2" s="392" t="s">
        <v>207</v>
      </c>
      <c r="B2" s="393"/>
      <c r="C2" s="393"/>
      <c r="D2" s="393"/>
      <c r="E2" s="393"/>
      <c r="F2" s="393"/>
      <c r="G2" s="393"/>
    </row>
    <row r="3" spans="1:7" ht="16.149999999999999" thickBot="1" x14ac:dyDescent="0.35">
      <c r="A3" s="22"/>
      <c r="B3" s="22"/>
      <c r="C3" s="22"/>
      <c r="D3" s="207"/>
      <c r="E3" s="208"/>
      <c r="F3" s="15"/>
      <c r="G3" s="15"/>
    </row>
    <row r="4" spans="1:7" ht="63.75" customHeight="1" thickBot="1" x14ac:dyDescent="0.3">
      <c r="A4" s="162" t="s">
        <v>0</v>
      </c>
      <c r="B4" s="209" t="s">
        <v>108</v>
      </c>
      <c r="C4" s="209" t="s">
        <v>1</v>
      </c>
      <c r="D4" s="209" t="s">
        <v>2</v>
      </c>
      <c r="E4" s="209" t="s">
        <v>126</v>
      </c>
      <c r="F4" s="168" t="s">
        <v>72</v>
      </c>
      <c r="G4" s="470" t="s">
        <v>128</v>
      </c>
    </row>
    <row r="5" spans="1:7" ht="34.15" customHeight="1" thickBot="1" x14ac:dyDescent="0.3">
      <c r="A5" s="169"/>
      <c r="B5" s="170"/>
      <c r="C5" s="170"/>
      <c r="D5" s="170"/>
      <c r="E5" s="216"/>
      <c r="F5" s="173" t="s">
        <v>127</v>
      </c>
      <c r="G5" s="471"/>
    </row>
    <row r="6" spans="1:7" ht="30" customHeight="1" thickBot="1" x14ac:dyDescent="0.3">
      <c r="A6" s="179" t="s">
        <v>8</v>
      </c>
      <c r="B6" s="180" t="s">
        <v>9</v>
      </c>
      <c r="C6" s="180" t="s">
        <v>10</v>
      </c>
      <c r="D6" s="185" t="s">
        <v>11</v>
      </c>
      <c r="E6" s="215">
        <v>0</v>
      </c>
      <c r="F6" s="147">
        <v>1</v>
      </c>
      <c r="G6" s="5">
        <v>10</v>
      </c>
    </row>
    <row r="7" spans="1:7" ht="26.25" thickBot="1" x14ac:dyDescent="0.3">
      <c r="A7" s="181" t="s">
        <v>15</v>
      </c>
      <c r="B7" s="182" t="s">
        <v>12</v>
      </c>
      <c r="C7" s="182" t="s">
        <v>13</v>
      </c>
      <c r="D7" s="186" t="s">
        <v>14</v>
      </c>
      <c r="E7" s="174">
        <v>0</v>
      </c>
      <c r="F7" s="147">
        <v>1</v>
      </c>
      <c r="G7" s="5">
        <v>10</v>
      </c>
    </row>
    <row r="8" spans="1:7" ht="26.25" thickBot="1" x14ac:dyDescent="0.3">
      <c r="A8" s="181" t="s">
        <v>16</v>
      </c>
      <c r="B8" s="182" t="s">
        <v>22</v>
      </c>
      <c r="C8" s="182" t="s">
        <v>23</v>
      </c>
      <c r="D8" s="186" t="s">
        <v>24</v>
      </c>
      <c r="E8" s="174">
        <v>0</v>
      </c>
      <c r="F8" s="147">
        <v>1</v>
      </c>
      <c r="G8" s="5">
        <v>10</v>
      </c>
    </row>
    <row r="9" spans="1:7" ht="29.45" customHeight="1" thickBot="1" x14ac:dyDescent="0.3">
      <c r="A9" s="181" t="s">
        <v>17</v>
      </c>
      <c r="B9" s="182" t="s">
        <v>25</v>
      </c>
      <c r="C9" s="182" t="s">
        <v>26</v>
      </c>
      <c r="D9" s="186" t="s">
        <v>27</v>
      </c>
      <c r="E9" s="174">
        <v>0</v>
      </c>
      <c r="F9" s="147">
        <v>1</v>
      </c>
      <c r="G9" s="5">
        <v>10</v>
      </c>
    </row>
    <row r="10" spans="1:7" ht="41.45" customHeight="1" thickBot="1" x14ac:dyDescent="0.3">
      <c r="A10" s="181" t="s">
        <v>18</v>
      </c>
      <c r="B10" s="182" t="s">
        <v>28</v>
      </c>
      <c r="C10" s="182" t="s">
        <v>29</v>
      </c>
      <c r="D10" s="186" t="s">
        <v>30</v>
      </c>
      <c r="E10" s="174">
        <v>0</v>
      </c>
      <c r="F10" s="147">
        <v>1</v>
      </c>
      <c r="G10" s="5">
        <v>10</v>
      </c>
    </row>
    <row r="11" spans="1:7" ht="32.450000000000003" customHeight="1" thickBot="1" x14ac:dyDescent="0.3">
      <c r="A11" s="181" t="s">
        <v>19</v>
      </c>
      <c r="B11" s="182" t="s">
        <v>31</v>
      </c>
      <c r="C11" s="182" t="s">
        <v>32</v>
      </c>
      <c r="D11" s="186" t="s">
        <v>33</v>
      </c>
      <c r="E11" s="174">
        <v>0</v>
      </c>
      <c r="F11" s="147">
        <v>1</v>
      </c>
      <c r="G11" s="5">
        <v>10</v>
      </c>
    </row>
    <row r="12" spans="1:7" ht="16.5" thickBot="1" x14ac:dyDescent="0.3">
      <c r="A12" s="181" t="s">
        <v>20</v>
      </c>
      <c r="B12" s="182" t="s">
        <v>34</v>
      </c>
      <c r="C12" s="182" t="s">
        <v>35</v>
      </c>
      <c r="D12" s="186" t="s">
        <v>36</v>
      </c>
      <c r="E12" s="174">
        <v>0</v>
      </c>
      <c r="F12" s="147">
        <v>1</v>
      </c>
      <c r="G12" s="5">
        <v>10</v>
      </c>
    </row>
    <row r="13" spans="1:7" ht="19.899999999999999" customHeight="1" thickBot="1" x14ac:dyDescent="0.3">
      <c r="A13" s="181" t="s">
        <v>21</v>
      </c>
      <c r="B13" s="182" t="s">
        <v>40</v>
      </c>
      <c r="C13" s="182" t="s">
        <v>38</v>
      </c>
      <c r="D13" s="186" t="s">
        <v>39</v>
      </c>
      <c r="E13" s="174">
        <v>0</v>
      </c>
      <c r="F13" s="147">
        <v>1</v>
      </c>
      <c r="G13" s="5">
        <v>10</v>
      </c>
    </row>
    <row r="14" spans="1:7" ht="16.5" thickBot="1" x14ac:dyDescent="0.3">
      <c r="A14" s="183">
        <v>9</v>
      </c>
      <c r="B14" s="182" t="s">
        <v>41</v>
      </c>
      <c r="C14" s="182" t="s">
        <v>42</v>
      </c>
      <c r="D14" s="186" t="s">
        <v>43</v>
      </c>
      <c r="E14" s="174">
        <v>0</v>
      </c>
      <c r="F14" s="147">
        <v>1</v>
      </c>
      <c r="G14" s="5">
        <v>10</v>
      </c>
    </row>
    <row r="15" spans="1:7" ht="26.25" thickBot="1" x14ac:dyDescent="0.3">
      <c r="A15" s="183">
        <v>10</v>
      </c>
      <c r="B15" s="182" t="s">
        <v>44</v>
      </c>
      <c r="C15" s="182" t="s">
        <v>45</v>
      </c>
      <c r="D15" s="186" t="s">
        <v>46</v>
      </c>
      <c r="E15" s="174">
        <v>0</v>
      </c>
      <c r="F15" s="147">
        <v>1</v>
      </c>
      <c r="G15" s="5">
        <v>10</v>
      </c>
    </row>
    <row r="16" spans="1:7" ht="19.149999999999999" customHeight="1" thickBot="1" x14ac:dyDescent="0.3">
      <c r="A16" s="183">
        <v>11</v>
      </c>
      <c r="B16" s="182" t="s">
        <v>47</v>
      </c>
      <c r="C16" s="182" t="s">
        <v>48</v>
      </c>
      <c r="D16" s="186" t="s">
        <v>49</v>
      </c>
      <c r="E16" s="174">
        <v>0</v>
      </c>
      <c r="F16" s="147">
        <v>1</v>
      </c>
      <c r="G16" s="5">
        <v>10</v>
      </c>
    </row>
    <row r="17" spans="1:10" ht="29.45" customHeight="1" x14ac:dyDescent="0.25">
      <c r="A17" s="181" t="s">
        <v>37</v>
      </c>
      <c r="B17" s="182" t="s">
        <v>50</v>
      </c>
      <c r="C17" s="182" t="s">
        <v>51</v>
      </c>
      <c r="D17" s="186" t="s">
        <v>52</v>
      </c>
      <c r="E17" s="174">
        <v>0</v>
      </c>
      <c r="F17" s="147">
        <v>1</v>
      </c>
      <c r="G17" s="5">
        <v>10</v>
      </c>
    </row>
    <row r="18" spans="1:10" ht="16.5" thickBot="1" x14ac:dyDescent="0.3">
      <c r="A18" s="33" t="s">
        <v>37</v>
      </c>
      <c r="B18" s="34"/>
      <c r="C18" s="34"/>
      <c r="D18" s="35" t="s">
        <v>58</v>
      </c>
      <c r="E18" s="175">
        <f>E6+E7+E8+E9+E10+E11+E12+E13+E14+E15+E16+E17</f>
        <v>0</v>
      </c>
      <c r="F18" s="177">
        <f t="shared" ref="F18" si="0">SUM(F6:F17)</f>
        <v>12</v>
      </c>
      <c r="G18" s="178">
        <f>SUM(G6:G17)/12</f>
        <v>10</v>
      </c>
    </row>
    <row r="19" spans="1:10" ht="12" customHeight="1" x14ac:dyDescent="0.3">
      <c r="A19" s="458"/>
      <c r="B19" s="458"/>
      <c r="C19" s="458"/>
      <c r="D19" s="458"/>
      <c r="E19" s="458"/>
      <c r="F19" s="458"/>
      <c r="G19" s="458"/>
      <c r="H19" s="184"/>
      <c r="I19" s="184"/>
      <c r="J19" s="184"/>
    </row>
    <row r="20" spans="1:10" ht="4.9000000000000004" customHeight="1" x14ac:dyDescent="0.3">
      <c r="A20" s="13"/>
      <c r="B20" s="13"/>
      <c r="C20" s="13"/>
      <c r="D20" s="13"/>
      <c r="E20" s="37"/>
      <c r="F20" s="15"/>
      <c r="G20" s="15"/>
    </row>
    <row r="21" spans="1:10" ht="15.75" x14ac:dyDescent="0.25">
      <c r="A21" s="398" t="s">
        <v>129</v>
      </c>
      <c r="B21" s="398"/>
      <c r="C21" s="398"/>
      <c r="D21" s="398"/>
      <c r="E21" s="398"/>
      <c r="F21" s="398"/>
      <c r="G21" s="398"/>
    </row>
    <row r="22" spans="1:10" ht="15.75" x14ac:dyDescent="0.25">
      <c r="A22" s="389"/>
      <c r="B22" s="390"/>
      <c r="C22" s="391"/>
      <c r="D22" s="15"/>
      <c r="E22" s="15"/>
      <c r="F22" s="15"/>
      <c r="G22" s="15"/>
    </row>
  </sheetData>
  <mergeCells count="5">
    <mergeCell ref="A22:C22"/>
    <mergeCell ref="A2:G2"/>
    <mergeCell ref="G4:G5"/>
    <mergeCell ref="A19:G19"/>
    <mergeCell ref="A21:G2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1.1 Кач. планирования расходов</vt:lpstr>
      <vt:lpstr>1.2. Качество исполнения КП</vt:lpstr>
      <vt:lpstr>1.3. Доля неиспользованых БА</vt:lpstr>
      <vt:lpstr>1.4 Своевременность принятия БО</vt:lpstr>
      <vt:lpstr>1.5 Несоотв. расч-плат док</vt:lpstr>
      <vt:lpstr>1.6 Доля отклоненных ПГЗ</vt:lpstr>
      <vt:lpstr>1.7. Эффективность исп. МТ </vt:lpstr>
      <vt:lpstr>1.8. Эффект.управл. КЗ</vt:lpstr>
      <vt:lpstr>1.9. Налчие просроч.КЗ</vt:lpstr>
      <vt:lpstr>1.10 Приостановление операций</vt:lpstr>
      <vt:lpstr>2.1. Кач-во пл.пост.налог+ненал</vt:lpstr>
      <vt:lpstr>2.2. Качество администр. ост.</vt:lpstr>
      <vt:lpstr>2.3 Кач-во управ. просроч.ДЗ</vt:lpstr>
      <vt:lpstr>3.1 Степень достовер.отчет</vt:lpstr>
      <vt:lpstr>3.2 Нарушение треб. к бюдж.уч.</vt:lpstr>
      <vt:lpstr>4 Наличие на сайте ГМУ</vt:lpstr>
      <vt:lpstr>5 Управление активами</vt:lpstr>
      <vt:lpstr>ИТОГИ</vt:lpstr>
      <vt:lpstr>'1.2. Качество исполнения КП'!Заголовки_для_печати</vt:lpstr>
      <vt:lpstr>'1.1 Кач. планирования расходов'!Область_печати</vt:lpstr>
      <vt:lpstr>'1.10 Приостановление операций'!Область_печати</vt:lpstr>
      <vt:lpstr>'1.2. Качество исполнения КП'!Область_печати</vt:lpstr>
      <vt:lpstr>'1.3. Доля неиспользованых БА'!Область_печати</vt:lpstr>
      <vt:lpstr>'2.1. Кач-во пл.пост.налог+ненал'!Область_печати</vt:lpstr>
      <vt:lpstr>ИТОГИ!Область_печати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Lebedeva</cp:lastModifiedBy>
  <cp:lastPrinted>2023-05-02T13:25:56Z</cp:lastPrinted>
  <dcterms:created xsi:type="dcterms:W3CDTF">2021-03-15T06:31:14Z</dcterms:created>
  <dcterms:modified xsi:type="dcterms:W3CDTF">2023-05-31T13:15:06Z</dcterms:modified>
</cp:coreProperties>
</file>