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240" windowWidth="12120" windowHeight="8385" tabRatio="867" firstSheet="8" activeTab="17"/>
  </bookViews>
  <sheets>
    <sheet name="отнош. дефицита" sheetId="1" r:id="rId1"/>
    <sheet name="отношение мун. долга" sheetId="2" r:id="rId2"/>
    <sheet name="отнош. расх. на обслуж." sheetId="3" r:id="rId3"/>
    <sheet name="доля расх. на сод. аппарата" sheetId="4" r:id="rId4"/>
    <sheet name="сниж. дотационности" sheetId="5" r:id="rId5"/>
    <sheet name="доля кр. зад." sheetId="6" r:id="rId6"/>
    <sheet name="Динам. нал. дох." sheetId="7" r:id="rId7"/>
    <sheet name="Динамика недоимки" sheetId="8" r:id="rId8"/>
    <sheet name="доходы от аренды" sheetId="9" r:id="rId9"/>
    <sheet name="факт. расх." sheetId="10" r:id="rId10"/>
    <sheet name="программы" sheetId="11" r:id="rId11"/>
    <sheet name="МЗ" sheetId="12" r:id="rId12"/>
    <sheet name="расх. на аппарат" sheetId="13" r:id="rId13"/>
    <sheet name="сокращение муниципального долга" sheetId="14" r:id="rId14"/>
    <sheet name="исполнение по доходам" sheetId="15" r:id="rId15"/>
    <sheet name="Равномерность" sheetId="16" r:id="rId16"/>
    <sheet name="Прозрачность бюджета" sheetId="17" r:id="rId17"/>
    <sheet name="ИТОГИ" sheetId="18" r:id="rId18"/>
  </sheets>
  <definedNames>
    <definedName name="_xlnm.Print_Titles" localSheetId="6">'Динам. нал. дох.'!$A:$B</definedName>
    <definedName name="_xlnm.Print_Titles" localSheetId="7">'Динамика недоимки'!$A:$B</definedName>
    <definedName name="_xlnm.Print_Titles" localSheetId="5">'доля кр. зад.'!$A:$B</definedName>
    <definedName name="_xlnm.Print_Titles" localSheetId="3">'доля расх. на сод. аппарата'!$A:$B</definedName>
    <definedName name="_xlnm.Print_Titles" localSheetId="8">'доходы от аренды'!$A:$B</definedName>
    <definedName name="_xlnm.Print_Titles" localSheetId="14">'исполнение по доходам'!$A:$B</definedName>
    <definedName name="_xlnm.Print_Titles" localSheetId="17">'ИТОГИ'!$A:$A</definedName>
    <definedName name="_xlnm.Print_Titles" localSheetId="11">'МЗ'!$A:$B</definedName>
    <definedName name="_xlnm.Print_Titles" localSheetId="0">'отнош. дефицита'!$A:$B</definedName>
    <definedName name="_xlnm.Print_Titles" localSheetId="2">'отнош. расх. на обслуж.'!$A:$B</definedName>
    <definedName name="_xlnm.Print_Titles" localSheetId="1">'отношение мун. долга'!$A:$B</definedName>
    <definedName name="_xlnm.Print_Titles" localSheetId="10">'программы'!$A:$B</definedName>
    <definedName name="_xlnm.Print_Titles" localSheetId="16">'Прозрачность бюджета'!$A:$B</definedName>
    <definedName name="_xlnm.Print_Titles" localSheetId="15">'Равномерность'!$A:$B</definedName>
    <definedName name="_xlnm.Print_Titles" localSheetId="12">'расх. на аппарат'!$A:$B</definedName>
    <definedName name="_xlnm.Print_Titles" localSheetId="4">'сниж. дотационности'!$A:$B</definedName>
    <definedName name="_xlnm.Print_Titles" localSheetId="13">'сокращение муниципального долга'!$A:$B</definedName>
    <definedName name="_xlnm.Print_Titles" localSheetId="9">'факт. расх.'!$A:$B</definedName>
    <definedName name="_xlnm.Print_Area" localSheetId="6">'Динам. нал. дох.'!$A$1:$G$25</definedName>
    <definedName name="_xlnm.Print_Area" localSheetId="7">'Динамика недоимки'!$A$1:$G$25</definedName>
    <definedName name="_xlnm.Print_Area" localSheetId="5">'доля кр. зад.'!$A$1:$G$25</definedName>
    <definedName name="_xlnm.Print_Area" localSheetId="3">'доля расх. на сод. аппарата'!$A$1:$G$25</definedName>
    <definedName name="_xlnm.Print_Area" localSheetId="8">'доходы от аренды'!$A$1:$G$25</definedName>
    <definedName name="_xlnm.Print_Area" localSheetId="14">'исполнение по доходам'!$A$1:$G$25</definedName>
    <definedName name="_xlnm.Print_Area" localSheetId="17">'ИТОГИ'!$A$1:$W$25</definedName>
    <definedName name="_xlnm.Print_Area" localSheetId="11">'МЗ'!$A$1:$G$25</definedName>
    <definedName name="_xlnm.Print_Area" localSheetId="0">'отнош. дефицита'!$A$1:$G$25</definedName>
    <definedName name="_xlnm.Print_Area" localSheetId="2">'отнош. расх. на обслуж.'!$A$1:$I$25</definedName>
    <definedName name="_xlnm.Print_Area" localSheetId="1">'отношение мун. долга'!$A$1:$G$25</definedName>
    <definedName name="_xlnm.Print_Area" localSheetId="10">'программы'!$A$1:$G$25</definedName>
    <definedName name="_xlnm.Print_Area" localSheetId="16">'Прозрачность бюджета'!$A$1:$J$25</definedName>
    <definedName name="_xlnm.Print_Area" localSheetId="15">'Равномерность'!$A$1:$E$25</definedName>
    <definedName name="_xlnm.Print_Area" localSheetId="12">'расх. на аппарат'!$A$1:$G$25</definedName>
    <definedName name="_xlnm.Print_Area" localSheetId="4">'сниж. дотационности'!$A$1:$G$25</definedName>
    <definedName name="_xlnm.Print_Area" localSheetId="13">'сокращение муниципального долга'!$A$1:$G$25</definedName>
    <definedName name="_xlnm.Print_Area" localSheetId="9">'факт. расх.'!$A$1:$G$25</definedName>
  </definedNames>
  <calcPr fullCalcOnLoad="1"/>
</workbook>
</file>

<file path=xl/sharedStrings.xml><?xml version="1.0" encoding="utf-8"?>
<sst xmlns="http://schemas.openxmlformats.org/spreadsheetml/2006/main" count="524" uniqueCount="122">
  <si>
    <t>Наименование</t>
  </si>
  <si>
    <t>территорий</t>
  </si>
  <si>
    <t>ВСЕГО</t>
  </si>
  <si>
    <t>Ахтанизовское с/п</t>
  </si>
  <si>
    <t>Вышестеблиевское с/п</t>
  </si>
  <si>
    <t>Голубицкое с/п</t>
  </si>
  <si>
    <t>Запорожское с/п</t>
  </si>
  <si>
    <t>Краснострельское с/п</t>
  </si>
  <si>
    <t>Курчанское с/п</t>
  </si>
  <si>
    <t>Новотаманское с/п</t>
  </si>
  <si>
    <t>Сенное с/п</t>
  </si>
  <si>
    <t xml:space="preserve">Старотитаровское с/п </t>
  </si>
  <si>
    <t>Таманское   с/п</t>
  </si>
  <si>
    <t>Фонталовское  с/п</t>
  </si>
  <si>
    <t xml:space="preserve">Городское поселение </t>
  </si>
  <si>
    <t>Р.Б.Волков</t>
  </si>
  <si>
    <t>Отношение  дефицита  бюджета поселения к утвержденному общему объему доходов   бюджета  без    учета утвержденного   объема   безвоздмездных   поступлений   и   (или) поступлений налоговых доходов по дополнительным нормативам отчислений*</t>
  </si>
  <si>
    <t>Начальник бюджетного отдела</t>
  </si>
  <si>
    <t xml:space="preserve">Общий объем доходов, без учета утвержденного   объема   безвоздмездных   поступлений   и   (или) поступлений налоговых доходов по дополнительным нормативам отчислений* </t>
  </si>
  <si>
    <t>Отношение объема муниципаль-ного  долга  к  объему  доходов местного   бюджета   без   учета утвержденного   объема   безвоз¬мездных   поступлений   и   (или) поступлений налоговых доходов по дополнительным нормативам отчислений**</t>
  </si>
  <si>
    <t xml:space="preserve">Начальник бюджетного отдела                                                               Р.Б.Волков            </t>
  </si>
  <si>
    <t>Наименование поселения</t>
  </si>
  <si>
    <t>Объем муниципального долга</t>
  </si>
  <si>
    <t>Отношение расходов на обслуживание муниципального долга к   расходам   бюджета  поселения, за исключением объема расходов, которые осуществляются за счет субвенций,     предоставляемых     из бюджетов  бюджетной  системы Российской Федерации</t>
  </si>
  <si>
    <t xml:space="preserve"> расходы   бюджета  поселения, за исключением объема расходов, которые осуществляются за счет субвенций,     предоставляемых     из бюджетов  бюджетной  системы Российской Федерации</t>
  </si>
  <si>
    <t>расходы на обслуживание муниципального долга</t>
  </si>
  <si>
    <t>Расходы ВСЕГО</t>
  </si>
  <si>
    <t>объем расходов, которые осуществляются за счет субвенций,     предоставляемых     из бюджетов  бюджетной  системы Российской Федерации</t>
  </si>
  <si>
    <t>5=3-4</t>
  </si>
  <si>
    <t>Отношение доли расходов на содержание органов местного самоуправления    поселения   к   установленному нормативу   формирования   данных расходов в отчетном периоде</t>
  </si>
  <si>
    <t>расходы на содержание органов местного самоуправления    поселения</t>
  </si>
  <si>
    <t>установленный норматив   формирования   данных расходов в отчетном периоде на содержание органов местного самоуправления</t>
  </si>
  <si>
    <t>Снижение  дотационности  бюджета поселения</t>
  </si>
  <si>
    <t>Отношение   объема   просроченной  кредиторской  задолженности    бюджета   поселения к расходам бюджета</t>
  </si>
  <si>
    <t>объем   просроченной  кредиторской  задолженности    бюджета   поселения</t>
  </si>
  <si>
    <t>Динамика   налоговых   доходов бюджета поселения (за   искл.   поступлений   по   доп. норм. отчислений)</t>
  </si>
  <si>
    <t>4=3/2*100</t>
  </si>
  <si>
    <t>4=2/3</t>
  </si>
  <si>
    <t>Объем недоимки по налоговым, подлежащим зачислению в местный бюджет, на начало отчетного периода</t>
  </si>
  <si>
    <t>Объем недоимки по налоговым, подлежащим зачислению в местный бюджет, на конец отчетного периода</t>
  </si>
  <si>
    <t>Отношение    доходов    бюджета поселения от сдачи имущества в аренду к стоимости  имущества, сданного  в аренду (доходность имущества, сданного в аренду)</t>
  </si>
  <si>
    <t>Стоимость имущества, сданного варенду, на конец отчетного периода</t>
  </si>
  <si>
    <t>Доходы бюджета от сдачи имущества в аренду на конец отчетного периода</t>
  </si>
  <si>
    <t>Отношение фактического исполнения расходов бюджета поселения к уточненным  плановым  показателям расходов поселения</t>
  </si>
  <si>
    <t xml:space="preserve">Уточненные плановые показатели расходов бюджета </t>
  </si>
  <si>
    <t>4=2/3*100</t>
  </si>
  <si>
    <t>6=2/5</t>
  </si>
  <si>
    <t>Удельный вес расходов бюджета поселения, формируемых   в   рамках   программ</t>
  </si>
  <si>
    <t>Удельный вес расходов бюджета поселения на оказание муниципальных услуг (выполнение  работ)  в соответствии с МЗ, в общем объеме расходов бюджета поселения (за исключением расходов,   осуществляемых   за   счет субвенций    и  МТ в связи с передачей полномочий    между    органами местного самоуправления поселений, расходов на обслуживание мун. долга)</t>
  </si>
  <si>
    <t>расходы бюджета поселения на оказание муниципальных услуг (выполнение  работ)  в соответствии с МЗ</t>
  </si>
  <si>
    <t>расходов бюджета поселения (за исключением расходов,   осуществляемых   за   счет субвенций    и  МТ в связи с передачей полномочий    между    органами местного самоуправления поселений, расходов на обслуживание мун. долга)</t>
  </si>
  <si>
    <t>расходы бюджета поселения, формируемых   в   рамках   программ (за искл. субвенций)</t>
  </si>
  <si>
    <t>расходы бюджета поселения (за искл. субвенций)</t>
  </si>
  <si>
    <t>Доля расходов местного бюджета на содержание органов местного   самоуправления   муници-пального образования к общему объему расходов бюджета поселения без переданных полномочий</t>
  </si>
  <si>
    <t>объем расходов бюджета поселения без переданных полномочий</t>
  </si>
  <si>
    <t>Доля расходов местного бюджета на содержание органов местного   самоуправления   муниципального образования к общему объему расходов бюджета поселения без переданных полномочий</t>
  </si>
  <si>
    <t>расходы местного бюджета на содержание органов местного   самоуправления   муниципального образования</t>
  </si>
  <si>
    <t>Соотношение    объема    среднесрочных долговых обязательств к объему краткосрочных долговых обязательств поселения</t>
  </si>
  <si>
    <t>Объем доходов поселений без учета безвозмездных поселений (факт)</t>
  </si>
  <si>
    <t>Объем доходов поселений без учета безвозмездных поселений (первоначальный план)</t>
  </si>
  <si>
    <t>Отклонение кассовых расходов в 4 квартале от среднего объема кассовых расходов за 1-3 кварталы  отчетного  года  (равномерность исполнения бюджета)</t>
  </si>
  <si>
    <t>2=А4/(А3+А2+А1)/3)</t>
  </si>
  <si>
    <t>Прозрачность бюджетного процесса</t>
  </si>
  <si>
    <t xml:space="preserve">max </t>
  </si>
  <si>
    <t>min</t>
  </si>
  <si>
    <t>Значение показателя</t>
  </si>
  <si>
    <t>5=(Zmax-Zmo)/(Zmax-Zmin)</t>
  </si>
  <si>
    <t>Значение показателя с учетом удельного веса</t>
  </si>
  <si>
    <t>6=5*0,05</t>
  </si>
  <si>
    <t>max</t>
  </si>
  <si>
    <t>6=(Zmax-Zmo)/(Zmax-Zmin)</t>
  </si>
  <si>
    <t>7=6*0,05</t>
  </si>
  <si>
    <t>5=(Zmo-Zmin)/(Zmax-Zmin)</t>
  </si>
  <si>
    <t>Проведение публичных слушаний по проекту местного бюджетаи проекту отчета об исполнении местного бюджета в соответствии  с  установленным по-рядком</t>
  </si>
  <si>
    <t>Своевременность     предоставления бюджетной отчетности в финансовое управление администрации МОТР</t>
  </si>
  <si>
    <t>3=2*0,05</t>
  </si>
  <si>
    <t>1.1</t>
  </si>
  <si>
    <t>1.2</t>
  </si>
  <si>
    <t>1.4</t>
  </si>
  <si>
    <t>Соблюдение бюджетного законодательства при осуществлении бюджетного процесса</t>
  </si>
  <si>
    <t>Финансовая гибкость</t>
  </si>
  <si>
    <t>2.1</t>
  </si>
  <si>
    <t>2.2</t>
  </si>
  <si>
    <t>3.1</t>
  </si>
  <si>
    <t>3.2</t>
  </si>
  <si>
    <t>3.3</t>
  </si>
  <si>
    <t>Управление бюджетными доходами и муниципальной собственностью</t>
  </si>
  <si>
    <t>4.1</t>
  </si>
  <si>
    <t>4.2</t>
  </si>
  <si>
    <t>4.3</t>
  </si>
  <si>
    <t>4.4</t>
  </si>
  <si>
    <t>Управление бюджетными расходами</t>
  </si>
  <si>
    <t>5.1</t>
  </si>
  <si>
    <t>5.2</t>
  </si>
  <si>
    <t>Управление муниципальным долгом</t>
  </si>
  <si>
    <t>6.1</t>
  </si>
  <si>
    <t>6.2</t>
  </si>
  <si>
    <t>7.1</t>
  </si>
  <si>
    <t>7.2</t>
  </si>
  <si>
    <t>7.3</t>
  </si>
  <si>
    <t>7.4</t>
  </si>
  <si>
    <t>Бюджетное планирование</t>
  </si>
  <si>
    <t>ИТОГО</t>
  </si>
  <si>
    <t>Размещение    на    официальных сайтах органов местного самоуправления поселения "Бюджета для граждан"</t>
  </si>
  <si>
    <t>5=4*0,05</t>
  </si>
  <si>
    <t>9=8*0,05</t>
  </si>
  <si>
    <t xml:space="preserve">Размещение    на    официальном сайте bus.gov.ru информации о государственных (муниципальных) учреждениях (муниципальные задания и отчеты о их выполнении, планы ФХД, бюджетные сметы и др.) </t>
  </si>
  <si>
    <t>Сокращение объема муниципального долга поселений</t>
  </si>
  <si>
    <t>Объем муниципального долга на начало отчетного финансового года</t>
  </si>
  <si>
    <t>Объем муниципального долга на конец отчетного финансового года</t>
  </si>
  <si>
    <t>Дефицит бюджета (без учета остатков средств на начало года)</t>
  </si>
  <si>
    <t>Фактические расходы бюджета (кассовые)</t>
  </si>
  <si>
    <t>Динамика недоимки по налоговым доходам, подлежащим зачислению в местный бюджет</t>
  </si>
  <si>
    <t>1.3</t>
  </si>
  <si>
    <t>Отношение объема муниципального  долга  к  объему  доходов местного   бюджета   без   учета утвержденного   объема   безвозмездных   поступлений   и   (или) поступлений налоговых доходов по дополнительным нормативам отчислений**</t>
  </si>
  <si>
    <t>Доля финансовой помощи в общем объеме доходов бюджета (за исключением субвенций) на конец отчетного года</t>
  </si>
  <si>
    <t>Доля финансовой помощи в общем объеме доходов бюджета (за исключением субвенций) на конец года, предшествующего отчетному</t>
  </si>
  <si>
    <t>4=3/2</t>
  </si>
  <si>
    <t>Исполнение   бюджета  поселения по доходам без учета безвозмездных поступлений  к первоначально утвержденному уровню.</t>
  </si>
  <si>
    <t>Исполнение бюджета поселения по доходам без учета безвозмездных поступлений к первоначально утвержденному уровню.</t>
  </si>
  <si>
    <t>Объем налоговых доходов бюджета поселения за 2017 год (за   искл.   поступлений   по   доп. норм. отчислений)</t>
  </si>
  <si>
    <t>Объем налоговых доходов бюджета поселения за 2018 год (за   искл.   поступлений   по   доп. норм. отчислений)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</si>
</sst>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0.000"/>
    <numFmt numFmtId="170" formatCode="0.00000"/>
    <numFmt numFmtId="171" formatCode="0.0000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.0000_р_._-;\-* #,##0.0000_р_._-;_-* &quot;-&quot;??_р_._-;_-@_-"/>
    <numFmt numFmtId="175" formatCode="#,##0.0"/>
    <numFmt numFmtId="176" formatCode="#,##0.000"/>
    <numFmt numFmtId="177" formatCode="#,##0.00_ ;\-#,##0.00\ "/>
    <numFmt numFmtId="178" formatCode="#,##0.0000"/>
    <numFmt numFmtId="179" formatCode="_-* #,##0.00000_р_._-;\-* #,##0.00000_р_._-;_-* &quot;-&quot;??_р_._-;_-@_-"/>
    <numFmt numFmtId="180" formatCode="_-* #,##0.000000_р_._-;\-* #,##0.000000_р_._-;_-* &quot;-&quot;??_р_._-;_-@_-"/>
    <numFmt numFmtId="181" formatCode="#,##0.00000"/>
    <numFmt numFmtId="182" formatCode="_-* #,##0.000000\ _₽_-;\-* #,##0.000000\ _₽_-;_-* &quot;-&quot;??????\ _₽_-;_-@_-"/>
    <numFmt numFmtId="183" formatCode="#,##0.000000_ ;\-#,##0.000000\ "/>
    <numFmt numFmtId="184" formatCode="#,##0.000000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ahoma"/>
      <family val="2"/>
    </font>
    <font>
      <u val="single"/>
      <sz val="10"/>
      <color indexed="36"/>
      <name val="Arial Cyr"/>
      <family val="0"/>
    </font>
    <font>
      <sz val="14"/>
      <name val="Tahoma"/>
      <family val="2"/>
    </font>
    <font>
      <sz val="12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name val="Tahoma"/>
      <family val="2"/>
    </font>
    <font>
      <b/>
      <sz val="12"/>
      <name val="Tahoma"/>
      <family val="2"/>
    </font>
    <font>
      <sz val="10"/>
      <name val="Times New Roman"/>
      <family val="1"/>
    </font>
    <font>
      <b/>
      <sz val="11"/>
      <name val="Tahoma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color indexed="17"/>
      <name val="Times New Roman"/>
      <family val="1"/>
    </font>
    <font>
      <b/>
      <sz val="12"/>
      <color indexed="17"/>
      <name val="Times New Roman"/>
      <family val="1"/>
    </font>
    <font>
      <sz val="12"/>
      <color indexed="10"/>
      <name val="Tahoma"/>
      <family val="2"/>
    </font>
    <font>
      <sz val="12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rgb="FF00B050"/>
      <name val="Times New Roman"/>
      <family val="1"/>
    </font>
    <font>
      <b/>
      <sz val="12"/>
      <color rgb="FF00B050"/>
      <name val="Times New Roman"/>
      <family val="1"/>
    </font>
    <font>
      <sz val="12"/>
      <color rgb="FFFF0000"/>
      <name val="Tahoma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medium"/>
      <right style="medium"/>
      <top>
        <color indexed="63"/>
      </top>
      <bottom style="thin"/>
    </border>
    <border>
      <left style="medium"/>
      <right style="thin"/>
      <top style="hair"/>
      <bottom style="hair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2" fillId="0" borderId="0" xfId="53" applyFont="1" applyFill="1">
      <alignment/>
      <protection/>
    </xf>
    <xf numFmtId="0" fontId="5" fillId="0" borderId="0" xfId="53" applyFont="1" applyFill="1">
      <alignment/>
      <protection/>
    </xf>
    <xf numFmtId="0" fontId="4" fillId="0" borderId="0" xfId="53" applyFont="1" applyFill="1">
      <alignment/>
      <protection/>
    </xf>
    <xf numFmtId="0" fontId="8" fillId="0" borderId="0" xfId="53" applyFont="1" applyFill="1">
      <alignment/>
      <protection/>
    </xf>
    <xf numFmtId="0" fontId="6" fillId="0" borderId="0" xfId="53" applyFont="1" applyFill="1" applyAlignment="1">
      <alignment horizontal="left"/>
      <protection/>
    </xf>
    <xf numFmtId="0" fontId="6" fillId="0" borderId="0" xfId="53" applyFont="1" applyFill="1" applyAlignment="1">
      <alignment horizontal="right"/>
      <protection/>
    </xf>
    <xf numFmtId="0" fontId="2" fillId="0" borderId="0" xfId="53" applyFont="1" applyFill="1">
      <alignment/>
      <protection/>
    </xf>
    <xf numFmtId="0" fontId="9" fillId="0" borderId="0" xfId="53" applyFont="1" applyFill="1" applyAlignment="1">
      <alignment/>
      <protection/>
    </xf>
    <xf numFmtId="0" fontId="8" fillId="0" borderId="0" xfId="53" applyFont="1" applyFill="1" applyAlignment="1">
      <alignment horizontal="left"/>
      <protection/>
    </xf>
    <xf numFmtId="0" fontId="8" fillId="0" borderId="0" xfId="53" applyFont="1" applyFill="1" applyAlignment="1">
      <alignment horizontal="right"/>
      <protection/>
    </xf>
    <xf numFmtId="168" fontId="6" fillId="0" borderId="10" xfId="53" applyNumberFormat="1" applyFont="1" applyFill="1" applyBorder="1">
      <alignment/>
      <protection/>
    </xf>
    <xf numFmtId="167" fontId="6" fillId="0" borderId="10" xfId="61" applyFont="1" applyFill="1" applyBorder="1" applyAlignment="1">
      <alignment horizontal="right"/>
    </xf>
    <xf numFmtId="0" fontId="6" fillId="33" borderId="10" xfId="53" applyFont="1" applyFill="1" applyBorder="1" applyAlignment="1">
      <alignment horizontal="center"/>
      <protection/>
    </xf>
    <xf numFmtId="0" fontId="6" fillId="33" borderId="10" xfId="0" applyFont="1" applyFill="1" applyBorder="1" applyAlignment="1">
      <alignment horizontal="left" vertical="center"/>
    </xf>
    <xf numFmtId="0" fontId="7" fillId="33" borderId="10" xfId="53" applyFont="1" applyFill="1" applyBorder="1" applyAlignment="1">
      <alignment horizontal="center" vertical="center" wrapText="1"/>
      <protection/>
    </xf>
    <xf numFmtId="0" fontId="9" fillId="0" borderId="0" xfId="53" applyFont="1" applyFill="1" applyBorder="1" applyAlignment="1">
      <alignment/>
      <protection/>
    </xf>
    <xf numFmtId="0" fontId="6" fillId="0" borderId="0" xfId="53" applyFont="1" applyFill="1">
      <alignment/>
      <protection/>
    </xf>
    <xf numFmtId="167" fontId="6" fillId="0" borderId="10" xfId="61" applyFont="1" applyFill="1" applyBorder="1" applyAlignment="1">
      <alignment horizontal="center"/>
    </xf>
    <xf numFmtId="0" fontId="6" fillId="33" borderId="11" xfId="53" applyFont="1" applyFill="1" applyBorder="1" applyAlignment="1">
      <alignment horizontal="center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0" fontId="6" fillId="33" borderId="12" xfId="53" applyFont="1" applyFill="1" applyBorder="1" applyAlignment="1">
      <alignment horizontal="center" vertical="center" wrapText="1"/>
      <protection/>
    </xf>
    <xf numFmtId="0" fontId="6" fillId="33" borderId="13" xfId="53" applyFont="1" applyFill="1" applyBorder="1" applyAlignment="1">
      <alignment horizontal="center" vertical="center" wrapText="1"/>
      <protection/>
    </xf>
    <xf numFmtId="0" fontId="6" fillId="33" borderId="14" xfId="53" applyFont="1" applyFill="1" applyBorder="1" applyAlignment="1" applyProtection="1">
      <alignment horizontal="center"/>
      <protection locked="0"/>
    </xf>
    <xf numFmtId="0" fontId="6" fillId="33" borderId="15" xfId="0" applyFont="1" applyFill="1" applyBorder="1" applyAlignment="1">
      <alignment horizontal="left" vertical="center"/>
    </xf>
    <xf numFmtId="0" fontId="6" fillId="33" borderId="16" xfId="53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>
      <alignment horizontal="left" wrapText="1"/>
    </xf>
    <xf numFmtId="0" fontId="6" fillId="33" borderId="18" xfId="0" applyFont="1" applyFill="1" applyBorder="1" applyAlignment="1">
      <alignment horizontal="left" wrapText="1"/>
    </xf>
    <xf numFmtId="167" fontId="6" fillId="0" borderId="12" xfId="61" applyFont="1" applyFill="1" applyBorder="1" applyAlignment="1">
      <alignment horizontal="center"/>
    </xf>
    <xf numFmtId="0" fontId="9" fillId="0" borderId="0" xfId="53" applyFont="1" applyFill="1" applyBorder="1">
      <alignment/>
      <protection/>
    </xf>
    <xf numFmtId="0" fontId="5" fillId="0" borderId="0" xfId="53" applyFont="1" applyFill="1" applyBorder="1">
      <alignment/>
      <protection/>
    </xf>
    <xf numFmtId="0" fontId="7" fillId="33" borderId="19" xfId="53" applyFont="1" applyFill="1" applyBorder="1" applyAlignment="1" applyProtection="1">
      <alignment horizontal="center"/>
      <protection locked="0"/>
    </xf>
    <xf numFmtId="167" fontId="6" fillId="0" borderId="20" xfId="61" applyFont="1" applyFill="1" applyBorder="1" applyAlignment="1">
      <alignment horizontal="center"/>
    </xf>
    <xf numFmtId="0" fontId="7" fillId="33" borderId="21" xfId="53" applyFont="1" applyFill="1" applyBorder="1" applyAlignment="1" applyProtection="1">
      <alignment horizontal="left"/>
      <protection locked="0"/>
    </xf>
    <xf numFmtId="167" fontId="7" fillId="33" borderId="22" xfId="61" applyFont="1" applyFill="1" applyBorder="1" applyAlignment="1">
      <alignment horizontal="center"/>
    </xf>
    <xf numFmtId="167" fontId="7" fillId="33" borderId="23" xfId="61" applyFont="1" applyFill="1" applyBorder="1" applyAlignment="1">
      <alignment horizontal="center"/>
    </xf>
    <xf numFmtId="167" fontId="6" fillId="0" borderId="24" xfId="61" applyFont="1" applyFill="1" applyBorder="1" applyAlignment="1">
      <alignment horizontal="center"/>
    </xf>
    <xf numFmtId="167" fontId="6" fillId="0" borderId="20" xfId="61" applyFont="1" applyFill="1" applyBorder="1" applyAlignment="1">
      <alignment horizontal="right"/>
    </xf>
    <xf numFmtId="167" fontId="7" fillId="33" borderId="25" xfId="61" applyFont="1" applyFill="1" applyBorder="1" applyAlignment="1">
      <alignment horizontal="right"/>
    </xf>
    <xf numFmtId="0" fontId="2" fillId="0" borderId="0" xfId="53" applyFont="1" applyFill="1" applyAlignment="1">
      <alignment horizontal="right"/>
      <protection/>
    </xf>
    <xf numFmtId="0" fontId="6" fillId="33" borderId="26" xfId="53" applyFont="1" applyFill="1" applyBorder="1" applyAlignment="1">
      <alignment horizontal="center" vertical="center" wrapText="1"/>
      <protection/>
    </xf>
    <xf numFmtId="0" fontId="6" fillId="33" borderId="12" xfId="53" applyFont="1" applyFill="1" applyBorder="1" applyAlignment="1">
      <alignment horizontal="center"/>
      <protection/>
    </xf>
    <xf numFmtId="0" fontId="6" fillId="33" borderId="27" xfId="0" applyFont="1" applyFill="1" applyBorder="1" applyAlignment="1">
      <alignment horizontal="left" vertical="center"/>
    </xf>
    <xf numFmtId="0" fontId="6" fillId="33" borderId="28" xfId="0" applyFont="1" applyFill="1" applyBorder="1" applyAlignment="1">
      <alignment horizontal="left" wrapText="1"/>
    </xf>
    <xf numFmtId="0" fontId="6" fillId="33" borderId="29" xfId="0" applyFont="1" applyFill="1" applyBorder="1" applyAlignment="1">
      <alignment horizontal="left" wrapText="1"/>
    </xf>
    <xf numFmtId="0" fontId="7" fillId="33" borderId="30" xfId="53" applyFont="1" applyFill="1" applyBorder="1" applyAlignment="1" applyProtection="1">
      <alignment horizontal="center"/>
      <protection locked="0"/>
    </xf>
    <xf numFmtId="0" fontId="2" fillId="0" borderId="0" xfId="53" applyFont="1" applyFill="1" applyBorder="1" applyAlignment="1">
      <alignment vertical="center" wrapText="1"/>
      <protection/>
    </xf>
    <xf numFmtId="0" fontId="7" fillId="33" borderId="10" xfId="53" applyFont="1" applyFill="1" applyBorder="1" applyAlignment="1">
      <alignment horizontal="center" vertical="center"/>
      <protection/>
    </xf>
    <xf numFmtId="169" fontId="9" fillId="0" borderId="10" xfId="53" applyNumberFormat="1" applyFont="1" applyFill="1" applyBorder="1">
      <alignment/>
      <protection/>
    </xf>
    <xf numFmtId="169" fontId="9" fillId="0" borderId="20" xfId="53" applyNumberFormat="1" applyFont="1" applyFill="1" applyBorder="1">
      <alignment/>
      <protection/>
    </xf>
    <xf numFmtId="2" fontId="9" fillId="0" borderId="20" xfId="53" applyNumberFormat="1" applyFont="1" applyFill="1" applyBorder="1">
      <alignment/>
      <protection/>
    </xf>
    <xf numFmtId="167" fontId="7" fillId="33" borderId="25" xfId="61" applyFont="1" applyFill="1" applyBorder="1" applyAlignment="1">
      <alignment horizontal="center"/>
    </xf>
    <xf numFmtId="167" fontId="7" fillId="33" borderId="31" xfId="61" applyFont="1" applyFill="1" applyBorder="1" applyAlignment="1">
      <alignment horizontal="center"/>
    </xf>
    <xf numFmtId="0" fontId="6" fillId="33" borderId="10" xfId="53" applyFont="1" applyFill="1" applyBorder="1" applyAlignment="1">
      <alignment horizontal="center" vertical="center"/>
      <protection/>
    </xf>
    <xf numFmtId="2" fontId="10" fillId="33" borderId="21" xfId="53" applyNumberFormat="1" applyFont="1" applyFill="1" applyBorder="1">
      <alignment/>
      <protection/>
    </xf>
    <xf numFmtId="0" fontId="6" fillId="33" borderId="24" xfId="53" applyFont="1" applyFill="1" applyBorder="1" applyAlignment="1">
      <alignment horizontal="center" vertical="center" wrapText="1"/>
      <protection/>
    </xf>
    <xf numFmtId="0" fontId="11" fillId="33" borderId="27" xfId="0" applyFont="1" applyFill="1" applyBorder="1" applyAlignment="1">
      <alignment horizontal="left" vertical="center" wrapText="1"/>
    </xf>
    <xf numFmtId="0" fontId="11" fillId="33" borderId="28" xfId="0" applyFont="1" applyFill="1" applyBorder="1" applyAlignment="1">
      <alignment horizontal="left" wrapText="1"/>
    </xf>
    <xf numFmtId="0" fontId="11" fillId="33" borderId="29" xfId="0" applyFont="1" applyFill="1" applyBorder="1" applyAlignment="1">
      <alignment horizontal="left" wrapText="1"/>
    </xf>
    <xf numFmtId="169" fontId="11" fillId="34" borderId="10" xfId="0" applyNumberFormat="1" applyFont="1" applyFill="1" applyBorder="1" applyAlignment="1">
      <alignment horizontal="right"/>
    </xf>
    <xf numFmtId="169" fontId="11" fillId="0" borderId="10" xfId="53" applyNumberFormat="1" applyFont="1" applyFill="1" applyBorder="1" applyAlignment="1">
      <alignment horizontal="right"/>
      <protection/>
    </xf>
    <xf numFmtId="169" fontId="11" fillId="34" borderId="12" xfId="0" applyNumberFormat="1" applyFont="1" applyFill="1" applyBorder="1" applyAlignment="1">
      <alignment horizontal="right"/>
    </xf>
    <xf numFmtId="169" fontId="11" fillId="0" borderId="12" xfId="61" applyNumberFormat="1" applyFont="1" applyFill="1" applyBorder="1" applyAlignment="1">
      <alignment horizontal="right"/>
    </xf>
    <xf numFmtId="169" fontId="11" fillId="0" borderId="12" xfId="53" applyNumberFormat="1" applyFont="1" applyFill="1" applyBorder="1" applyAlignment="1">
      <alignment horizontal="right"/>
      <protection/>
    </xf>
    <xf numFmtId="169" fontId="11" fillId="33" borderId="30" xfId="0" applyNumberFormat="1" applyFont="1" applyFill="1" applyBorder="1" applyAlignment="1">
      <alignment horizontal="right"/>
    </xf>
    <xf numFmtId="169" fontId="12" fillId="33" borderId="32" xfId="53" applyNumberFormat="1" applyFont="1" applyFill="1" applyBorder="1">
      <alignment/>
      <protection/>
    </xf>
    <xf numFmtId="167" fontId="7" fillId="33" borderId="30" xfId="61" applyFont="1" applyFill="1" applyBorder="1" applyAlignment="1">
      <alignment horizontal="right"/>
    </xf>
    <xf numFmtId="169" fontId="7" fillId="33" borderId="32" xfId="53" applyNumberFormat="1" applyFont="1" applyFill="1" applyBorder="1">
      <alignment/>
      <protection/>
    </xf>
    <xf numFmtId="171" fontId="11" fillId="0" borderId="10" xfId="53" applyNumberFormat="1" applyFont="1" applyFill="1" applyBorder="1" applyAlignment="1">
      <alignment horizontal="right"/>
      <protection/>
    </xf>
    <xf numFmtId="171" fontId="12" fillId="33" borderId="33" xfId="53" applyNumberFormat="1" applyFont="1" applyFill="1" applyBorder="1">
      <alignment/>
      <protection/>
    </xf>
    <xf numFmtId="172" fontId="7" fillId="33" borderId="31" xfId="61" applyNumberFormat="1" applyFont="1" applyFill="1" applyBorder="1" applyAlignment="1">
      <alignment horizontal="center"/>
    </xf>
    <xf numFmtId="171" fontId="15" fillId="33" borderId="10" xfId="53" applyNumberFormat="1" applyFont="1" applyFill="1" applyBorder="1" applyAlignment="1">
      <alignment horizontal="right"/>
      <protection/>
    </xf>
    <xf numFmtId="169" fontId="11" fillId="33" borderId="31" xfId="0" applyNumberFormat="1" applyFont="1" applyFill="1" applyBorder="1" applyAlignment="1">
      <alignment horizontal="right"/>
    </xf>
    <xf numFmtId="0" fontId="6" fillId="33" borderId="10" xfId="53" applyFont="1" applyFill="1" applyBorder="1" applyAlignment="1" applyProtection="1">
      <alignment horizontal="center" vertical="center"/>
      <protection locked="0"/>
    </xf>
    <xf numFmtId="0" fontId="5" fillId="0" borderId="0" xfId="53" applyFont="1" applyFill="1" applyAlignment="1">
      <alignment vertical="center"/>
      <protection/>
    </xf>
    <xf numFmtId="0" fontId="6" fillId="33" borderId="10" xfId="0" applyFont="1" applyFill="1" applyBorder="1" applyAlignment="1">
      <alignment horizontal="left" vertical="center" wrapText="1"/>
    </xf>
    <xf numFmtId="0" fontId="6" fillId="33" borderId="20" xfId="53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>
      <alignment horizontal="left" vertical="center" wrapText="1"/>
    </xf>
    <xf numFmtId="0" fontId="6" fillId="33" borderId="21" xfId="53" applyFont="1" applyFill="1" applyBorder="1" applyAlignment="1" applyProtection="1">
      <alignment horizontal="center" vertical="center"/>
      <protection locked="0"/>
    </xf>
    <xf numFmtId="0" fontId="7" fillId="33" borderId="22" xfId="53" applyFont="1" applyFill="1" applyBorder="1" applyAlignment="1" applyProtection="1">
      <alignment horizontal="left" vertical="center"/>
      <protection locked="0"/>
    </xf>
    <xf numFmtId="0" fontId="9" fillId="0" borderId="0" xfId="53" applyFont="1" applyFill="1" applyBorder="1" applyAlignment="1">
      <alignment vertical="center"/>
      <protection/>
    </xf>
    <xf numFmtId="0" fontId="5" fillId="0" borderId="0" xfId="53" applyFont="1" applyFill="1" applyBorder="1" applyAlignment="1">
      <alignment vertical="center"/>
      <protection/>
    </xf>
    <xf numFmtId="0" fontId="9" fillId="0" borderId="0" xfId="53" applyFont="1" applyFill="1" applyAlignment="1">
      <alignment vertical="center"/>
      <protection/>
    </xf>
    <xf numFmtId="0" fontId="7" fillId="33" borderId="21" xfId="53" applyFont="1" applyFill="1" applyBorder="1" applyAlignment="1" applyProtection="1">
      <alignment horizontal="center" vertical="center"/>
      <protection locked="0"/>
    </xf>
    <xf numFmtId="0" fontId="2" fillId="0" borderId="0" xfId="53" applyFont="1" applyFill="1" applyAlignment="1">
      <alignment vertical="center"/>
      <protection/>
    </xf>
    <xf numFmtId="0" fontId="2" fillId="0" borderId="0" xfId="53" applyFont="1" applyFill="1" applyAlignment="1">
      <alignment vertical="center"/>
      <protection/>
    </xf>
    <xf numFmtId="0" fontId="54" fillId="33" borderId="10" xfId="53" applyFont="1" applyFill="1" applyBorder="1" applyAlignment="1" applyProtection="1">
      <alignment horizontal="center" vertical="center"/>
      <protection locked="0"/>
    </xf>
    <xf numFmtId="0" fontId="54" fillId="33" borderId="20" xfId="53" applyFont="1" applyFill="1" applyBorder="1" applyAlignment="1" applyProtection="1">
      <alignment horizontal="center" vertical="center"/>
      <protection locked="0"/>
    </xf>
    <xf numFmtId="0" fontId="55" fillId="33" borderId="21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>
      <alignment vertical="center"/>
      <protection/>
    </xf>
    <xf numFmtId="167" fontId="7" fillId="33" borderId="10" xfId="61" applyFont="1" applyFill="1" applyBorder="1" applyAlignment="1">
      <alignment horizontal="right"/>
    </xf>
    <xf numFmtId="0" fontId="54" fillId="33" borderId="10" xfId="53" applyFont="1" applyFill="1" applyBorder="1" applyAlignment="1">
      <alignment horizontal="center" vertical="center"/>
      <protection/>
    </xf>
    <xf numFmtId="0" fontId="14" fillId="0" borderId="0" xfId="0" applyFont="1" applyBorder="1" applyAlignment="1">
      <alignment horizontal="center" vertical="center"/>
    </xf>
    <xf numFmtId="2" fontId="5" fillId="0" borderId="0" xfId="53" applyNumberFormat="1" applyFont="1" applyFill="1" applyAlignment="1">
      <alignment vertical="center"/>
      <protection/>
    </xf>
    <xf numFmtId="2" fontId="9" fillId="0" borderId="0" xfId="53" applyNumberFormat="1" applyFont="1" applyFill="1" applyAlignment="1">
      <alignment vertical="center"/>
      <protection/>
    </xf>
    <xf numFmtId="0" fontId="6" fillId="0" borderId="0" xfId="53" applyFont="1" applyFill="1" applyAlignment="1">
      <alignment vertical="center"/>
      <protection/>
    </xf>
    <xf numFmtId="0" fontId="6" fillId="0" borderId="0" xfId="53" applyFont="1" applyFill="1" applyAlignment="1">
      <alignment horizontal="right" vertical="center"/>
      <protection/>
    </xf>
    <xf numFmtId="0" fontId="6" fillId="0" borderId="0" xfId="53" applyFont="1" applyFill="1" applyAlignment="1">
      <alignment horizontal="left" vertical="center"/>
      <protection/>
    </xf>
    <xf numFmtId="2" fontId="2" fillId="0" borderId="0" xfId="53" applyNumberFormat="1" applyFont="1" applyFill="1" applyAlignment="1">
      <alignment vertical="center"/>
      <protection/>
    </xf>
    <xf numFmtId="0" fontId="8" fillId="0" borderId="0" xfId="53" applyFont="1" applyFill="1" applyAlignment="1">
      <alignment vertical="center"/>
      <protection/>
    </xf>
    <xf numFmtId="0" fontId="8" fillId="0" borderId="0" xfId="53" applyFont="1" applyFill="1" applyAlignment="1">
      <alignment horizontal="right" vertical="center"/>
      <protection/>
    </xf>
    <xf numFmtId="0" fontId="2" fillId="0" borderId="0" xfId="53" applyFont="1" applyFill="1" applyAlignment="1">
      <alignment horizontal="right" vertical="center"/>
      <protection/>
    </xf>
    <xf numFmtId="176" fontId="7" fillId="33" borderId="23" xfId="61" applyNumberFormat="1" applyFont="1" applyFill="1" applyBorder="1" applyAlignment="1">
      <alignment horizontal="right" vertical="center"/>
    </xf>
    <xf numFmtId="176" fontId="7" fillId="33" borderId="32" xfId="53" applyNumberFormat="1" applyFont="1" applyFill="1" applyBorder="1" applyAlignment="1">
      <alignment horizontal="right" vertical="center"/>
      <protection/>
    </xf>
    <xf numFmtId="169" fontId="12" fillId="33" borderId="30" xfId="53" applyNumberFormat="1" applyFont="1" applyFill="1" applyBorder="1">
      <alignment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175" fontId="6" fillId="0" borderId="10" xfId="61" applyNumberFormat="1" applyFont="1" applyFill="1" applyBorder="1" applyAlignment="1">
      <alignment horizontal="right" vertical="center"/>
    </xf>
    <xf numFmtId="175" fontId="7" fillId="33" borderId="22" xfId="61" applyNumberFormat="1" applyFont="1" applyFill="1" applyBorder="1" applyAlignment="1">
      <alignment horizontal="right" vertical="center"/>
    </xf>
    <xf numFmtId="175" fontId="7" fillId="33" borderId="22" xfId="53" applyNumberFormat="1" applyFont="1" applyFill="1" applyBorder="1" applyAlignment="1">
      <alignment vertical="center"/>
      <protection/>
    </xf>
    <xf numFmtId="167" fontId="7" fillId="33" borderId="34" xfId="61" applyFont="1" applyFill="1" applyBorder="1" applyAlignment="1">
      <alignment horizontal="center"/>
    </xf>
    <xf numFmtId="176" fontId="7" fillId="33" borderId="22" xfId="61" applyNumberFormat="1" applyFont="1" applyFill="1" applyBorder="1" applyAlignment="1">
      <alignment horizontal="right" vertical="center"/>
    </xf>
    <xf numFmtId="177" fontId="7" fillId="33" borderId="22" xfId="61" applyNumberFormat="1" applyFont="1" applyFill="1" applyBorder="1" applyAlignment="1">
      <alignment vertical="center"/>
    </xf>
    <xf numFmtId="4" fontId="7" fillId="33" borderId="22" xfId="61" applyNumberFormat="1" applyFont="1" applyFill="1" applyBorder="1" applyAlignment="1">
      <alignment horizontal="right" vertical="center"/>
    </xf>
    <xf numFmtId="0" fontId="6" fillId="33" borderId="10" xfId="53" applyFont="1" applyFill="1" applyBorder="1" applyAlignment="1">
      <alignment horizontal="center" vertical="center" wrapText="1"/>
      <protection/>
    </xf>
    <xf numFmtId="177" fontId="7" fillId="33" borderId="22" xfId="61" applyNumberFormat="1" applyFont="1" applyFill="1" applyBorder="1" applyAlignment="1">
      <alignment horizontal="right" vertical="center"/>
    </xf>
    <xf numFmtId="167" fontId="6" fillId="0" borderId="10" xfId="61" applyNumberFormat="1" applyFont="1" applyFill="1" applyBorder="1" applyAlignment="1">
      <alignment horizontal="center"/>
    </xf>
    <xf numFmtId="0" fontId="6" fillId="33" borderId="10" xfId="53" applyFont="1" applyFill="1" applyBorder="1" applyAlignment="1" applyProtection="1">
      <alignment horizontal="center"/>
      <protection locked="0"/>
    </xf>
    <xf numFmtId="0" fontId="7" fillId="33" borderId="10" xfId="53" applyFont="1" applyFill="1" applyBorder="1" applyAlignment="1" applyProtection="1">
      <alignment horizontal="left"/>
      <protection locked="0"/>
    </xf>
    <xf numFmtId="167" fontId="7" fillId="33" borderId="10" xfId="61" applyFont="1" applyFill="1" applyBorder="1" applyAlignment="1">
      <alignment horizontal="center"/>
    </xf>
    <xf numFmtId="2" fontId="12" fillId="33" borderId="10" xfId="53" applyNumberFormat="1" applyFont="1" applyFill="1" applyBorder="1">
      <alignment/>
      <protection/>
    </xf>
    <xf numFmtId="169" fontId="12" fillId="33" borderId="10" xfId="53" applyNumberFormat="1" applyFont="1" applyFill="1" applyBorder="1">
      <alignment/>
      <protection/>
    </xf>
    <xf numFmtId="2" fontId="7" fillId="33" borderId="10" xfId="53" applyNumberFormat="1" applyFont="1" applyFill="1" applyBorder="1">
      <alignment/>
      <protection/>
    </xf>
    <xf numFmtId="169" fontId="7" fillId="33" borderId="10" xfId="53" applyNumberFormat="1" applyFont="1" applyFill="1" applyBorder="1">
      <alignment/>
      <protection/>
    </xf>
    <xf numFmtId="176" fontId="6" fillId="33" borderId="12" xfId="53" applyNumberFormat="1" applyFont="1" applyFill="1" applyBorder="1" applyAlignment="1">
      <alignment vertical="center"/>
      <protection/>
    </xf>
    <xf numFmtId="176" fontId="57" fillId="0" borderId="10" xfId="61" applyNumberFormat="1" applyFont="1" applyFill="1" applyBorder="1" applyAlignment="1">
      <alignment horizontal="right" vertical="center"/>
    </xf>
    <xf numFmtId="176" fontId="57" fillId="0" borderId="10" xfId="53" applyNumberFormat="1" applyFont="1" applyFill="1" applyBorder="1" applyAlignment="1">
      <alignment horizontal="right" vertical="center"/>
      <protection/>
    </xf>
    <xf numFmtId="176" fontId="57" fillId="0" borderId="20" xfId="53" applyNumberFormat="1" applyFont="1" applyFill="1" applyBorder="1" applyAlignment="1">
      <alignment horizontal="right" vertical="center"/>
      <protection/>
    </xf>
    <xf numFmtId="175" fontId="57" fillId="0" borderId="10" xfId="53" applyNumberFormat="1" applyFont="1" applyFill="1" applyBorder="1" applyAlignment="1">
      <alignment horizontal="right" vertical="center"/>
      <protection/>
    </xf>
    <xf numFmtId="176" fontId="57" fillId="0" borderId="10" xfId="61" applyNumberFormat="1" applyFont="1" applyFill="1" applyBorder="1" applyAlignment="1">
      <alignment vertical="center"/>
    </xf>
    <xf numFmtId="176" fontId="57" fillId="0" borderId="10" xfId="53" applyNumberFormat="1" applyFont="1" applyFill="1" applyBorder="1" applyAlignment="1">
      <alignment vertical="center"/>
      <protection/>
    </xf>
    <xf numFmtId="175" fontId="57" fillId="0" borderId="10" xfId="61" applyNumberFormat="1" applyFont="1" applyFill="1" applyBorder="1" applyAlignment="1">
      <alignment horizontal="right" vertical="center"/>
    </xf>
    <xf numFmtId="175" fontId="57" fillId="0" borderId="20" xfId="53" applyNumberFormat="1" applyFont="1" applyFill="1" applyBorder="1" applyAlignment="1">
      <alignment horizontal="right" vertical="center"/>
      <protection/>
    </xf>
    <xf numFmtId="176" fontId="57" fillId="0" borderId="20" xfId="53" applyNumberFormat="1" applyFont="1" applyFill="1" applyBorder="1" applyAlignment="1">
      <alignment vertical="center"/>
      <protection/>
    </xf>
    <xf numFmtId="175" fontId="57" fillId="0" borderId="20" xfId="61" applyNumberFormat="1" applyFont="1" applyFill="1" applyBorder="1" applyAlignment="1">
      <alignment horizontal="right" vertical="center"/>
    </xf>
    <xf numFmtId="167" fontId="6" fillId="0" borderId="0" xfId="53" applyNumberFormat="1" applyFont="1" applyFill="1">
      <alignment/>
      <protection/>
    </xf>
    <xf numFmtId="182" fontId="6" fillId="0" borderId="0" xfId="53" applyNumberFormat="1" applyFont="1" applyFill="1">
      <alignment/>
      <protection/>
    </xf>
    <xf numFmtId="172" fontId="6" fillId="0" borderId="12" xfId="61" applyNumberFormat="1" applyFont="1" applyFill="1" applyBorder="1" applyAlignment="1">
      <alignment horizontal="center"/>
    </xf>
    <xf numFmtId="172" fontId="6" fillId="0" borderId="24" xfId="61" applyNumberFormat="1" applyFont="1" applyFill="1" applyBorder="1" applyAlignment="1">
      <alignment horizontal="center"/>
    </xf>
    <xf numFmtId="168" fontId="9" fillId="0" borderId="20" xfId="53" applyNumberFormat="1" applyFont="1" applyFill="1" applyBorder="1">
      <alignment/>
      <protection/>
    </xf>
    <xf numFmtId="173" fontId="6" fillId="0" borderId="10" xfId="61" applyNumberFormat="1" applyFont="1" applyFill="1" applyBorder="1" applyAlignment="1">
      <alignment horizontal="center"/>
    </xf>
    <xf numFmtId="2" fontId="6" fillId="0" borderId="10" xfId="53" applyNumberFormat="1" applyFont="1" applyFill="1" applyBorder="1">
      <alignment/>
      <protection/>
    </xf>
    <xf numFmtId="0" fontId="9" fillId="0" borderId="10" xfId="53" applyFont="1" applyFill="1" applyBorder="1">
      <alignment/>
      <protection/>
    </xf>
    <xf numFmtId="2" fontId="6" fillId="0" borderId="10" xfId="53" applyNumberFormat="1" applyFont="1" applyFill="1" applyBorder="1" applyAlignment="1">
      <alignment vertical="center" wrapText="1"/>
      <protection/>
    </xf>
    <xf numFmtId="2" fontId="6" fillId="0" borderId="10" xfId="53" applyNumberFormat="1" applyFont="1" applyFill="1" applyBorder="1" applyAlignment="1">
      <alignment/>
      <protection/>
    </xf>
    <xf numFmtId="2" fontId="6" fillId="0" borderId="20" xfId="53" applyNumberFormat="1" applyFont="1" applyFill="1" applyBorder="1">
      <alignment/>
      <protection/>
    </xf>
    <xf numFmtId="167" fontId="6" fillId="0" borderId="12" xfId="61" applyFont="1" applyFill="1" applyBorder="1" applyAlignment="1">
      <alignment horizontal="right"/>
    </xf>
    <xf numFmtId="167" fontId="6" fillId="0" borderId="35" xfId="61" applyFont="1" applyFill="1" applyBorder="1" applyAlignment="1">
      <alignment horizontal="center"/>
    </xf>
    <xf numFmtId="169" fontId="6" fillId="0" borderId="10" xfId="53" applyNumberFormat="1" applyFont="1" applyFill="1" applyBorder="1">
      <alignment/>
      <protection/>
    </xf>
    <xf numFmtId="167" fontId="6" fillId="0" borderId="28" xfId="61" applyFont="1" applyFill="1" applyBorder="1" applyAlignment="1">
      <alignment horizontal="center"/>
    </xf>
    <xf numFmtId="167" fontId="6" fillId="0" borderId="29" xfId="61" applyFont="1" applyFill="1" applyBorder="1" applyAlignment="1">
      <alignment horizontal="center"/>
    </xf>
    <xf numFmtId="175" fontId="6" fillId="0" borderId="10" xfId="53" applyNumberFormat="1" applyFont="1" applyFill="1" applyBorder="1" applyAlignment="1">
      <alignment horizontal="right" vertical="center"/>
      <protection/>
    </xf>
    <xf numFmtId="2" fontId="9" fillId="0" borderId="10" xfId="53" applyNumberFormat="1" applyFont="1" applyFill="1" applyBorder="1">
      <alignment/>
      <protection/>
    </xf>
    <xf numFmtId="169" fontId="6" fillId="0" borderId="20" xfId="53" applyNumberFormat="1" applyFont="1" applyFill="1" applyBorder="1">
      <alignment/>
      <protection/>
    </xf>
    <xf numFmtId="0" fontId="6" fillId="0" borderId="12" xfId="61" applyNumberFormat="1" applyFont="1" applyFill="1" applyBorder="1" applyAlignment="1">
      <alignment horizontal="center"/>
    </xf>
    <xf numFmtId="0" fontId="6" fillId="0" borderId="24" xfId="61" applyNumberFormat="1" applyFont="1" applyFill="1" applyBorder="1" applyAlignment="1">
      <alignment horizontal="center"/>
    </xf>
    <xf numFmtId="0" fontId="7" fillId="33" borderId="31" xfId="53" applyFont="1" applyFill="1" applyBorder="1" applyAlignment="1" applyProtection="1">
      <alignment horizontal="left"/>
      <protection locked="0"/>
    </xf>
    <xf numFmtId="0" fontId="6" fillId="0" borderId="10" xfId="61" applyNumberFormat="1" applyFont="1" applyFill="1" applyBorder="1" applyAlignment="1">
      <alignment horizontal="center"/>
    </xf>
    <xf numFmtId="2" fontId="7" fillId="33" borderId="10" xfId="61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9" fillId="0" borderId="10" xfId="53" applyFont="1" applyFill="1" applyBorder="1" applyAlignment="1">
      <alignment/>
      <protection/>
    </xf>
    <xf numFmtId="0" fontId="6" fillId="34" borderId="10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0" fontId="6" fillId="34" borderId="20" xfId="0" applyFont="1" applyFill="1" applyBorder="1" applyAlignment="1">
      <alignment horizontal="center" wrapText="1"/>
    </xf>
    <xf numFmtId="0" fontId="6" fillId="34" borderId="20" xfId="0" applyFont="1" applyFill="1" applyBorder="1" applyAlignment="1">
      <alignment horizontal="center" vertical="center"/>
    </xf>
    <xf numFmtId="0" fontId="6" fillId="34" borderId="24" xfId="61" applyNumberFormat="1" applyFont="1" applyFill="1" applyBorder="1" applyAlignment="1">
      <alignment horizontal="center" wrapText="1"/>
    </xf>
    <xf numFmtId="175" fontId="6" fillId="0" borderId="10" xfId="53" applyNumberFormat="1" applyFont="1" applyFill="1" applyBorder="1" applyAlignment="1">
      <alignment vertical="center"/>
      <protection/>
    </xf>
    <xf numFmtId="175" fontId="6" fillId="0" borderId="20" xfId="53" applyNumberFormat="1" applyFont="1" applyFill="1" applyBorder="1" applyAlignment="1">
      <alignment vertical="center"/>
      <protection/>
    </xf>
    <xf numFmtId="175" fontId="6" fillId="0" borderId="20" xfId="53" applyNumberFormat="1" applyFont="1" applyFill="1" applyBorder="1" applyAlignment="1">
      <alignment horizontal="right" vertical="center"/>
      <protection/>
    </xf>
    <xf numFmtId="176" fontId="6" fillId="0" borderId="10" xfId="61" applyNumberFormat="1" applyFont="1" applyFill="1" applyBorder="1" applyAlignment="1">
      <alignment horizontal="right" vertical="center"/>
    </xf>
    <xf numFmtId="177" fontId="6" fillId="0" borderId="10" xfId="61" applyNumberFormat="1" applyFont="1" applyFill="1" applyBorder="1" applyAlignment="1">
      <alignment vertical="center"/>
    </xf>
    <xf numFmtId="177" fontId="6" fillId="0" borderId="20" xfId="61" applyNumberFormat="1" applyFont="1" applyFill="1" applyBorder="1" applyAlignment="1">
      <alignment vertical="center"/>
    </xf>
    <xf numFmtId="176" fontId="6" fillId="0" borderId="10" xfId="61" applyNumberFormat="1" applyFont="1" applyFill="1" applyBorder="1" applyAlignment="1">
      <alignment vertical="center"/>
    </xf>
    <xf numFmtId="176" fontId="6" fillId="0" borderId="20" xfId="61" applyNumberFormat="1" applyFont="1" applyFill="1" applyBorder="1" applyAlignment="1">
      <alignment vertical="center"/>
    </xf>
    <xf numFmtId="176" fontId="6" fillId="0" borderId="20" xfId="61" applyNumberFormat="1" applyFont="1" applyFill="1" applyBorder="1" applyAlignment="1">
      <alignment horizontal="right" vertical="center"/>
    </xf>
    <xf numFmtId="4" fontId="6" fillId="0" borderId="10" xfId="61" applyNumberFormat="1" applyFont="1" applyFill="1" applyBorder="1" applyAlignment="1">
      <alignment horizontal="right" vertical="center"/>
    </xf>
    <xf numFmtId="4" fontId="6" fillId="0" borderId="20" xfId="61" applyNumberFormat="1" applyFont="1" applyFill="1" applyBorder="1" applyAlignment="1">
      <alignment horizontal="right" vertical="center"/>
    </xf>
    <xf numFmtId="4" fontId="6" fillId="0" borderId="20" xfId="53" applyNumberFormat="1" applyFont="1" applyFill="1" applyBorder="1" applyAlignment="1">
      <alignment horizontal="right" vertical="center"/>
      <protection/>
    </xf>
    <xf numFmtId="177" fontId="6" fillId="0" borderId="10" xfId="61" applyNumberFormat="1" applyFont="1" applyFill="1" applyBorder="1" applyAlignment="1">
      <alignment horizontal="right" vertical="center"/>
    </xf>
    <xf numFmtId="177" fontId="6" fillId="0" borderId="20" xfId="61" applyNumberFormat="1" applyFont="1" applyFill="1" applyBorder="1" applyAlignment="1">
      <alignment horizontal="right" vertical="center"/>
    </xf>
    <xf numFmtId="176" fontId="6" fillId="0" borderId="10" xfId="53" applyNumberFormat="1" applyFont="1" applyFill="1" applyBorder="1" applyAlignment="1">
      <alignment vertical="center"/>
      <protection/>
    </xf>
    <xf numFmtId="178" fontId="6" fillId="0" borderId="10" xfId="53" applyNumberFormat="1" applyFont="1" applyFill="1" applyBorder="1" applyAlignment="1">
      <alignment vertical="center"/>
      <protection/>
    </xf>
    <xf numFmtId="178" fontId="6" fillId="0" borderId="10" xfId="61" applyNumberFormat="1" applyFont="1" applyFill="1" applyBorder="1" applyAlignment="1">
      <alignment vertical="center"/>
    </xf>
    <xf numFmtId="176" fontId="6" fillId="0" borderId="12" xfId="53" applyNumberFormat="1" applyFont="1" applyFill="1" applyBorder="1" applyAlignment="1">
      <alignment vertical="center"/>
      <protection/>
    </xf>
    <xf numFmtId="4" fontId="6" fillId="0" borderId="12" xfId="53" applyNumberFormat="1" applyFont="1" applyFill="1" applyBorder="1" applyAlignment="1">
      <alignment vertical="center"/>
      <protection/>
    </xf>
    <xf numFmtId="176" fontId="6" fillId="0" borderId="20" xfId="53" applyNumberFormat="1" applyFont="1" applyFill="1" applyBorder="1" applyAlignment="1">
      <alignment vertical="center"/>
      <protection/>
    </xf>
    <xf numFmtId="178" fontId="6" fillId="33" borderId="10" xfId="53" applyNumberFormat="1" applyFont="1" applyFill="1" applyBorder="1" applyAlignment="1">
      <alignment vertical="center"/>
      <protection/>
    </xf>
    <xf numFmtId="176" fontId="6" fillId="33" borderId="10" xfId="53" applyNumberFormat="1" applyFont="1" applyFill="1" applyBorder="1" applyAlignment="1">
      <alignment vertical="center"/>
      <protection/>
    </xf>
    <xf numFmtId="176" fontId="6" fillId="33" borderId="30" xfId="53" applyNumberFormat="1" applyFont="1" applyFill="1" applyBorder="1" applyAlignment="1">
      <alignment horizontal="right" vertical="center"/>
      <protection/>
    </xf>
    <xf numFmtId="176" fontId="6" fillId="0" borderId="10" xfId="53" applyNumberFormat="1" applyFont="1" applyFill="1" applyBorder="1" applyAlignment="1">
      <alignment horizontal="right" vertical="center"/>
      <protection/>
    </xf>
    <xf numFmtId="4" fontId="6" fillId="0" borderId="10" xfId="53" applyNumberFormat="1" applyFont="1" applyFill="1" applyBorder="1" applyAlignment="1">
      <alignment horizontal="right" vertical="center"/>
      <protection/>
    </xf>
    <xf numFmtId="176" fontId="6" fillId="0" borderId="20" xfId="53" applyNumberFormat="1" applyFont="1" applyFill="1" applyBorder="1" applyAlignment="1">
      <alignment horizontal="right" vertical="center"/>
      <protection/>
    </xf>
    <xf numFmtId="167" fontId="6" fillId="0" borderId="24" xfId="61" applyNumberFormat="1" applyFont="1" applyFill="1" applyBorder="1" applyAlignment="1">
      <alignment horizontal="center"/>
    </xf>
    <xf numFmtId="167" fontId="6" fillId="0" borderId="12" xfId="61" applyNumberFormat="1" applyFont="1" applyFill="1" applyBorder="1" applyAlignment="1">
      <alignment horizontal="center"/>
    </xf>
    <xf numFmtId="176" fontId="7" fillId="33" borderId="30" xfId="53" applyNumberFormat="1" applyFont="1" applyFill="1" applyBorder="1" applyAlignment="1">
      <alignment horizontal="right" vertical="center"/>
      <protection/>
    </xf>
    <xf numFmtId="176" fontId="7" fillId="33" borderId="23" xfId="61" applyNumberFormat="1" applyFont="1" applyFill="1" applyBorder="1" applyAlignment="1">
      <alignment vertical="center"/>
    </xf>
    <xf numFmtId="176" fontId="7" fillId="33" borderId="32" xfId="53" applyNumberFormat="1" applyFont="1" applyFill="1" applyBorder="1" applyAlignment="1">
      <alignment vertical="center"/>
      <protection/>
    </xf>
    <xf numFmtId="176" fontId="7" fillId="33" borderId="30" xfId="53" applyNumberFormat="1" applyFont="1" applyFill="1" applyBorder="1" applyAlignment="1">
      <alignment vertical="center"/>
      <protection/>
    </xf>
    <xf numFmtId="178" fontId="6" fillId="0" borderId="10" xfId="53" applyNumberFormat="1" applyFont="1" applyFill="1" applyBorder="1" applyAlignment="1">
      <alignment horizontal="right" vertical="center"/>
      <protection/>
    </xf>
    <xf numFmtId="178" fontId="6" fillId="0" borderId="20" xfId="53" applyNumberFormat="1" applyFont="1" applyFill="1" applyBorder="1" applyAlignment="1">
      <alignment horizontal="right" vertical="center"/>
      <protection/>
    </xf>
    <xf numFmtId="184" fontId="6" fillId="0" borderId="12" xfId="61" applyNumberFormat="1" applyFont="1" applyFill="1" applyBorder="1" applyAlignment="1">
      <alignment horizontal="center"/>
    </xf>
    <xf numFmtId="184" fontId="6" fillId="0" borderId="24" xfId="61" applyNumberFormat="1" applyFont="1" applyFill="1" applyBorder="1" applyAlignment="1">
      <alignment horizontal="center"/>
    </xf>
    <xf numFmtId="184" fontId="7" fillId="33" borderId="31" xfId="61" applyNumberFormat="1" applyFont="1" applyFill="1" applyBorder="1" applyAlignment="1">
      <alignment horizontal="center"/>
    </xf>
    <xf numFmtId="2" fontId="12" fillId="33" borderId="30" xfId="53" applyNumberFormat="1" applyFont="1" applyFill="1" applyBorder="1">
      <alignment/>
      <protection/>
    </xf>
    <xf numFmtId="0" fontId="6" fillId="33" borderId="20" xfId="53" applyFont="1" applyFill="1" applyBorder="1" applyAlignment="1">
      <alignment horizontal="center" vertical="center" wrapText="1"/>
      <protection/>
    </xf>
    <xf numFmtId="0" fontId="6" fillId="33" borderId="36" xfId="53" applyFont="1" applyFill="1" applyBorder="1" applyAlignment="1">
      <alignment horizontal="center" vertical="center" wrapText="1"/>
      <protection/>
    </xf>
    <xf numFmtId="0" fontId="6" fillId="33" borderId="37" xfId="53" applyFont="1" applyFill="1" applyBorder="1" applyAlignment="1">
      <alignment horizontal="center" vertical="center" wrapText="1"/>
      <protection/>
    </xf>
    <xf numFmtId="0" fontId="7" fillId="0" borderId="38" xfId="53" applyFont="1" applyFill="1" applyBorder="1" applyAlignment="1">
      <alignment horizontal="center" vertical="center" wrapText="1"/>
      <protection/>
    </xf>
    <xf numFmtId="0" fontId="6" fillId="33" borderId="20" xfId="53" applyFont="1" applyFill="1" applyBorder="1" applyAlignment="1">
      <alignment horizontal="center"/>
      <protection/>
    </xf>
    <xf numFmtId="0" fontId="6" fillId="33" borderId="36" xfId="53" applyFont="1" applyFill="1" applyBorder="1" applyAlignment="1">
      <alignment horizontal="center"/>
      <protection/>
    </xf>
    <xf numFmtId="0" fontId="6" fillId="33" borderId="37" xfId="53" applyFont="1" applyFill="1" applyBorder="1" applyAlignment="1">
      <alignment horizontal="center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0" fontId="7" fillId="0" borderId="0" xfId="53" applyFont="1" applyFill="1" applyBorder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center"/>
      <protection/>
    </xf>
    <xf numFmtId="0" fontId="6" fillId="0" borderId="0" xfId="53" applyFont="1" applyFill="1" applyAlignment="1">
      <alignment horizontal="left"/>
      <protection/>
    </xf>
    <xf numFmtId="0" fontId="6" fillId="33" borderId="39" xfId="53" applyFont="1" applyFill="1" applyBorder="1" applyAlignment="1">
      <alignment horizontal="center" vertical="center" wrapText="1"/>
      <protection/>
    </xf>
    <xf numFmtId="0" fontId="6" fillId="33" borderId="40" xfId="53" applyFont="1" applyFill="1" applyBorder="1" applyAlignment="1">
      <alignment horizontal="center" vertical="center" wrapText="1"/>
      <protection/>
    </xf>
    <xf numFmtId="0" fontId="6" fillId="33" borderId="41" xfId="53" applyFont="1" applyFill="1" applyBorder="1" applyAlignment="1">
      <alignment horizontal="center" vertical="center" wrapText="1"/>
      <protection/>
    </xf>
    <xf numFmtId="0" fontId="6" fillId="33" borderId="42" xfId="53" applyFont="1" applyFill="1" applyBorder="1" applyAlignment="1">
      <alignment horizontal="center" vertical="center" wrapText="1"/>
      <protection/>
    </xf>
    <xf numFmtId="0" fontId="7" fillId="0" borderId="43" xfId="53" applyFont="1" applyFill="1" applyBorder="1" applyAlignment="1">
      <alignment horizontal="center" vertical="center" wrapText="1"/>
      <protection/>
    </xf>
    <xf numFmtId="0" fontId="6" fillId="33" borderId="44" xfId="53" applyFont="1" applyFill="1" applyBorder="1" applyAlignment="1">
      <alignment horizontal="center"/>
      <protection/>
    </xf>
    <xf numFmtId="0" fontId="6" fillId="33" borderId="45" xfId="53" applyFont="1" applyFill="1" applyBorder="1" applyAlignment="1">
      <alignment horizontal="center"/>
      <protection/>
    </xf>
    <xf numFmtId="0" fontId="6" fillId="33" borderId="46" xfId="53" applyFont="1" applyFill="1" applyBorder="1" applyAlignment="1">
      <alignment horizontal="center"/>
      <protection/>
    </xf>
    <xf numFmtId="0" fontId="6" fillId="33" borderId="47" xfId="53" applyFont="1" applyFill="1" applyBorder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center" vertical="center"/>
      <protection/>
    </xf>
    <xf numFmtId="0" fontId="6" fillId="0" borderId="0" xfId="53" applyFont="1" applyFill="1" applyAlignment="1">
      <alignment horizontal="left" vertical="center"/>
      <protection/>
    </xf>
    <xf numFmtId="0" fontId="54" fillId="33" borderId="10" xfId="53" applyFont="1" applyFill="1" applyBorder="1" applyAlignment="1">
      <alignment horizontal="center" vertical="center"/>
      <protection/>
    </xf>
    <xf numFmtId="0" fontId="11" fillId="33" borderId="47" xfId="53" applyFont="1" applyFill="1" applyBorder="1" applyAlignment="1">
      <alignment horizontal="center" vertical="center" wrapText="1"/>
      <protection/>
    </xf>
    <xf numFmtId="0" fontId="11" fillId="33" borderId="10" xfId="53" applyFont="1" applyFill="1" applyBorder="1" applyAlignment="1">
      <alignment horizontal="center" vertical="center" wrapText="1"/>
      <protection/>
    </xf>
    <xf numFmtId="49" fontId="6" fillId="33" borderId="20" xfId="53" applyNumberFormat="1" applyFont="1" applyFill="1" applyBorder="1" applyAlignment="1">
      <alignment horizontal="center" vertical="center" wrapText="1"/>
      <protection/>
    </xf>
    <xf numFmtId="49" fontId="6" fillId="33" borderId="37" xfId="53" applyNumberFormat="1" applyFont="1" applyFill="1" applyBorder="1" applyAlignment="1">
      <alignment horizontal="center" vertical="center" wrapText="1"/>
      <protection/>
    </xf>
    <xf numFmtId="49" fontId="6" fillId="33" borderId="12" xfId="53" applyNumberFormat="1" applyFont="1" applyFill="1" applyBorder="1" applyAlignment="1">
      <alignment horizontal="center" vertical="center" wrapText="1"/>
      <protection/>
    </xf>
    <xf numFmtId="0" fontId="13" fillId="33" borderId="20" xfId="53" applyFont="1" applyFill="1" applyBorder="1" applyAlignment="1">
      <alignment horizontal="center" vertical="center" textRotation="90"/>
      <protection/>
    </xf>
    <xf numFmtId="0" fontId="13" fillId="33" borderId="36" xfId="53" applyFont="1" applyFill="1" applyBorder="1" applyAlignment="1">
      <alignment horizontal="center" vertical="center" textRotation="90"/>
      <protection/>
    </xf>
    <xf numFmtId="0" fontId="13" fillId="33" borderId="37" xfId="53" applyFont="1" applyFill="1" applyBorder="1" applyAlignment="1">
      <alignment horizontal="center" vertical="center" textRotation="90"/>
      <protection/>
    </xf>
    <xf numFmtId="0" fontId="11" fillId="33" borderId="12" xfId="53" applyFont="1" applyFill="1" applyBorder="1" applyAlignment="1">
      <alignment horizontal="center" vertical="center" wrapText="1"/>
      <protection/>
    </xf>
    <xf numFmtId="167" fontId="7" fillId="33" borderId="21" xfId="61" applyFont="1" applyFill="1" applyBorder="1" applyAlignment="1">
      <alignment horizontal="right"/>
    </xf>
    <xf numFmtId="167" fontId="7" fillId="33" borderId="33" xfId="6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ммун_цены_на_01.04.0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showZeros="0"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8" sqref="E8"/>
    </sheetView>
  </sheetViews>
  <sheetFormatPr defaultColWidth="9.00390625" defaultRowHeight="12.75"/>
  <cols>
    <col min="1" max="1" width="4.125" style="1" customWidth="1"/>
    <col min="2" max="2" width="23.25390625" style="1" customWidth="1"/>
    <col min="3" max="3" width="19.875" style="1" customWidth="1"/>
    <col min="4" max="4" width="31.25390625" style="1" customWidth="1"/>
    <col min="5" max="5" width="50.75390625" style="1" customWidth="1"/>
    <col min="6" max="6" width="19.25390625" style="1" customWidth="1"/>
    <col min="7" max="7" width="17.125" style="1" customWidth="1"/>
    <col min="8" max="16384" width="9.125" style="1" customWidth="1"/>
  </cols>
  <sheetData>
    <row r="1" spans="1:7" ht="48" customHeight="1">
      <c r="A1" s="207" t="s">
        <v>16</v>
      </c>
      <c r="B1" s="207"/>
      <c r="C1" s="207"/>
      <c r="D1" s="207"/>
      <c r="E1" s="207"/>
      <c r="F1" s="207"/>
      <c r="G1" s="207"/>
    </row>
    <row r="2" spans="1:7" ht="12.75" customHeight="1">
      <c r="A2" s="208"/>
      <c r="B2" s="211" t="s">
        <v>21</v>
      </c>
      <c r="C2" s="211" t="s">
        <v>110</v>
      </c>
      <c r="D2" s="211" t="s">
        <v>18</v>
      </c>
      <c r="E2" s="204" t="s">
        <v>16</v>
      </c>
      <c r="F2" s="204" t="s">
        <v>65</v>
      </c>
      <c r="G2" s="204" t="s">
        <v>67</v>
      </c>
    </row>
    <row r="3" spans="1:7" ht="12.75" customHeight="1">
      <c r="A3" s="209"/>
      <c r="B3" s="211" t="s">
        <v>0</v>
      </c>
      <c r="C3" s="211"/>
      <c r="D3" s="211"/>
      <c r="E3" s="205"/>
      <c r="F3" s="205"/>
      <c r="G3" s="205"/>
    </row>
    <row r="4" spans="1:7" ht="18.75" customHeight="1">
      <c r="A4" s="209"/>
      <c r="B4" s="211" t="s">
        <v>1</v>
      </c>
      <c r="C4" s="211"/>
      <c r="D4" s="211"/>
      <c r="E4" s="205"/>
      <c r="F4" s="205"/>
      <c r="G4" s="205"/>
    </row>
    <row r="5" spans="1:7" ht="48" customHeight="1">
      <c r="A5" s="209"/>
      <c r="B5" s="211"/>
      <c r="C5" s="211"/>
      <c r="D5" s="211"/>
      <c r="E5" s="205"/>
      <c r="F5" s="205"/>
      <c r="G5" s="205"/>
    </row>
    <row r="6" spans="1:7" ht="19.5" customHeight="1">
      <c r="A6" s="210"/>
      <c r="B6" s="211"/>
      <c r="C6" s="211"/>
      <c r="D6" s="211"/>
      <c r="E6" s="206"/>
      <c r="F6" s="206"/>
      <c r="G6" s="206"/>
    </row>
    <row r="7" spans="1:7" ht="36.75" customHeight="1">
      <c r="A7" s="13"/>
      <c r="B7" s="47">
        <v>1</v>
      </c>
      <c r="C7" s="15">
        <v>2</v>
      </c>
      <c r="D7" s="15">
        <v>3</v>
      </c>
      <c r="E7" s="15" t="s">
        <v>37</v>
      </c>
      <c r="F7" s="15" t="s">
        <v>66</v>
      </c>
      <c r="G7" s="47" t="s">
        <v>68</v>
      </c>
    </row>
    <row r="8" spans="1:7" s="74" customFormat="1" ht="23.25" customHeight="1">
      <c r="A8" s="73">
        <v>1</v>
      </c>
      <c r="B8" s="14" t="s">
        <v>14</v>
      </c>
      <c r="C8" s="127">
        <v>0</v>
      </c>
      <c r="D8" s="166">
        <v>233674.137</v>
      </c>
      <c r="E8" s="128">
        <f aca="true" t="shared" si="0" ref="E8:E20">C8/D8</f>
        <v>0</v>
      </c>
      <c r="F8" s="183">
        <f>(0.148-E8)/(0.148-0)</f>
        <v>1</v>
      </c>
      <c r="G8" s="180">
        <f>F8*0.05</f>
        <v>0.05</v>
      </c>
    </row>
    <row r="9" spans="1:8" s="74" customFormat="1" ht="23.25" customHeight="1">
      <c r="A9" s="73">
        <f aca="true" t="shared" si="1" ref="A9:A15">A8+1</f>
        <v>2</v>
      </c>
      <c r="B9" s="75" t="s">
        <v>3</v>
      </c>
      <c r="C9" s="130"/>
      <c r="D9" s="166">
        <v>14810.9</v>
      </c>
      <c r="E9" s="128">
        <f t="shared" si="0"/>
        <v>0</v>
      </c>
      <c r="F9" s="183">
        <f aca="true" t="shared" si="2" ref="F9:F19">(0.148-E9)/(0.148-0)</f>
        <v>1</v>
      </c>
      <c r="G9" s="180">
        <f aca="true" t="shared" si="3" ref="G9:G20">F9*0.05</f>
        <v>0.05</v>
      </c>
      <c r="H9" s="89"/>
    </row>
    <row r="10" spans="1:8" s="74" customFormat="1" ht="23.25" customHeight="1">
      <c r="A10" s="73">
        <f t="shared" si="1"/>
        <v>3</v>
      </c>
      <c r="B10" s="75" t="s">
        <v>4</v>
      </c>
      <c r="C10" s="127"/>
      <c r="D10" s="166">
        <v>32610.451</v>
      </c>
      <c r="E10" s="129">
        <f t="shared" si="0"/>
        <v>0</v>
      </c>
      <c r="F10" s="183">
        <f t="shared" si="2"/>
        <v>1</v>
      </c>
      <c r="G10" s="180">
        <f t="shared" si="3"/>
        <v>0.05</v>
      </c>
      <c r="H10" s="89"/>
    </row>
    <row r="11" spans="1:7" s="74" customFormat="1" ht="23.25" customHeight="1">
      <c r="A11" s="73">
        <f t="shared" si="1"/>
        <v>4</v>
      </c>
      <c r="B11" s="75" t="s">
        <v>5</v>
      </c>
      <c r="C11" s="127"/>
      <c r="D11" s="166">
        <v>22553.12976</v>
      </c>
      <c r="E11" s="129">
        <f t="shared" si="0"/>
        <v>0</v>
      </c>
      <c r="F11" s="183">
        <f t="shared" si="2"/>
        <v>1</v>
      </c>
      <c r="G11" s="180">
        <f t="shared" si="3"/>
        <v>0.05</v>
      </c>
    </row>
    <row r="12" spans="1:8" s="74" customFormat="1" ht="23.25" customHeight="1">
      <c r="A12" s="73">
        <f t="shared" si="1"/>
        <v>5</v>
      </c>
      <c r="B12" s="75" t="s">
        <v>6</v>
      </c>
      <c r="C12" s="130">
        <v>0</v>
      </c>
      <c r="D12" s="166">
        <v>36446.55</v>
      </c>
      <c r="E12" s="128">
        <f t="shared" si="0"/>
        <v>0</v>
      </c>
      <c r="F12" s="183">
        <f t="shared" si="2"/>
        <v>1</v>
      </c>
      <c r="G12" s="180">
        <f t="shared" si="3"/>
        <v>0.05</v>
      </c>
      <c r="H12" s="74" t="s">
        <v>64</v>
      </c>
    </row>
    <row r="13" spans="1:7" s="74" customFormat="1" ht="23.25" customHeight="1">
      <c r="A13" s="73">
        <f t="shared" si="1"/>
        <v>6</v>
      </c>
      <c r="B13" s="75" t="s">
        <v>7</v>
      </c>
      <c r="C13" s="106">
        <v>338.45</v>
      </c>
      <c r="D13" s="166">
        <v>18855.955</v>
      </c>
      <c r="E13" s="182">
        <f t="shared" si="0"/>
        <v>0.017949236726540765</v>
      </c>
      <c r="F13" s="183">
        <f>(0.0386-E13)/(0.0386-0)</f>
        <v>0.5349938671880631</v>
      </c>
      <c r="G13" s="180">
        <f t="shared" si="3"/>
        <v>0.026749693359403155</v>
      </c>
    </row>
    <row r="14" spans="1:8" s="74" customFormat="1" ht="23.25" customHeight="1">
      <c r="A14" s="73">
        <f t="shared" si="1"/>
        <v>7</v>
      </c>
      <c r="B14" s="75" t="s">
        <v>8</v>
      </c>
      <c r="C14" s="150">
        <v>0</v>
      </c>
      <c r="D14" s="166">
        <v>18823.078</v>
      </c>
      <c r="E14" s="180">
        <f t="shared" si="0"/>
        <v>0</v>
      </c>
      <c r="F14" s="183">
        <f t="shared" si="2"/>
        <v>1</v>
      </c>
      <c r="G14" s="180">
        <f t="shared" si="3"/>
        <v>0.05</v>
      </c>
      <c r="H14" s="89"/>
    </row>
    <row r="15" spans="1:7" s="74" customFormat="1" ht="23.25" customHeight="1">
      <c r="A15" s="73">
        <f t="shared" si="1"/>
        <v>8</v>
      </c>
      <c r="B15" s="75" t="s">
        <v>9</v>
      </c>
      <c r="C15" s="150">
        <v>0</v>
      </c>
      <c r="D15" s="166">
        <v>15305.923</v>
      </c>
      <c r="E15" s="180">
        <f t="shared" si="0"/>
        <v>0</v>
      </c>
      <c r="F15" s="183">
        <f t="shared" si="2"/>
        <v>1</v>
      </c>
      <c r="G15" s="180">
        <f t="shared" si="3"/>
        <v>0.05</v>
      </c>
    </row>
    <row r="16" spans="1:7" s="74" customFormat="1" ht="23.25" customHeight="1">
      <c r="A16" s="73">
        <v>9</v>
      </c>
      <c r="B16" s="75" t="s">
        <v>10</v>
      </c>
      <c r="C16" s="106"/>
      <c r="D16" s="166">
        <v>34057.53</v>
      </c>
      <c r="E16" s="172">
        <f>C16/D16</f>
        <v>0</v>
      </c>
      <c r="F16" s="183">
        <f t="shared" si="2"/>
        <v>1</v>
      </c>
      <c r="G16" s="180">
        <f t="shared" si="3"/>
        <v>0.05</v>
      </c>
    </row>
    <row r="17" spans="1:8" s="74" customFormat="1" ht="23.25" customHeight="1">
      <c r="A17" s="73">
        <v>10</v>
      </c>
      <c r="B17" s="75" t="s">
        <v>11</v>
      </c>
      <c r="C17" s="150">
        <v>1821.38</v>
      </c>
      <c r="D17" s="166">
        <v>47126.1</v>
      </c>
      <c r="E17" s="181">
        <f t="shared" si="0"/>
        <v>0.03864907132141213</v>
      </c>
      <c r="F17" s="184">
        <f>(0.0386-E17)/(0.0386-0)</f>
        <v>-0.0012712777567909527</v>
      </c>
      <c r="G17" s="180">
        <f>F17*0.05</f>
        <v>-6.356388783954764E-05</v>
      </c>
      <c r="H17" s="74" t="s">
        <v>63</v>
      </c>
    </row>
    <row r="18" spans="1:7" s="74" customFormat="1" ht="23.25" customHeight="1">
      <c r="A18" s="73">
        <v>11</v>
      </c>
      <c r="B18" s="75" t="s">
        <v>12</v>
      </c>
      <c r="C18" s="130">
        <v>0</v>
      </c>
      <c r="D18" s="166">
        <v>245471.2</v>
      </c>
      <c r="E18" s="172">
        <f>C18/D18</f>
        <v>0</v>
      </c>
      <c r="F18" s="183">
        <f t="shared" si="2"/>
        <v>1</v>
      </c>
      <c r="G18" s="180">
        <f t="shared" si="3"/>
        <v>0.05</v>
      </c>
    </row>
    <row r="19" spans="1:7" s="74" customFormat="1" ht="23.25" customHeight="1" thickBot="1">
      <c r="A19" s="76">
        <v>12</v>
      </c>
      <c r="B19" s="77" t="s">
        <v>13</v>
      </c>
      <c r="C19" s="131"/>
      <c r="D19" s="167">
        <v>22295.405</v>
      </c>
      <c r="E19" s="132">
        <f t="shared" si="0"/>
        <v>0</v>
      </c>
      <c r="F19" s="183">
        <f t="shared" si="2"/>
        <v>1</v>
      </c>
      <c r="G19" s="185">
        <f t="shared" si="3"/>
        <v>0.05</v>
      </c>
    </row>
    <row r="20" spans="1:7" s="74" customFormat="1" ht="23.25" customHeight="1" thickBot="1">
      <c r="A20" s="78"/>
      <c r="B20" s="79" t="s">
        <v>2</v>
      </c>
      <c r="C20" s="108">
        <f>SUM(C8:C19)</f>
        <v>2159.83</v>
      </c>
      <c r="D20" s="108">
        <f>SUM(D8:D19)</f>
        <v>742030.35876</v>
      </c>
      <c r="E20" s="186">
        <f t="shared" si="0"/>
        <v>0.002910703011679026</v>
      </c>
      <c r="F20" s="123">
        <f>(0.0386-E20)/(0.0386-0)</f>
        <v>0.924593186225932</v>
      </c>
      <c r="G20" s="187">
        <f t="shared" si="3"/>
        <v>0.046229659311296606</v>
      </c>
    </row>
    <row r="21" spans="1:8" ht="36.75" customHeight="1">
      <c r="A21" s="4"/>
      <c r="B21" s="4"/>
      <c r="C21" s="4"/>
      <c r="D21" s="4"/>
      <c r="E21" s="4"/>
      <c r="H21" s="2"/>
    </row>
    <row r="22" spans="1:5" ht="18.75">
      <c r="A22" s="4"/>
      <c r="B22" s="4" t="s">
        <v>17</v>
      </c>
      <c r="C22" s="4"/>
      <c r="D22" s="4"/>
      <c r="E22" s="10" t="s">
        <v>15</v>
      </c>
    </row>
    <row r="23" spans="1:5" ht="18.75">
      <c r="A23" s="4"/>
      <c r="B23" s="4"/>
      <c r="C23" s="4"/>
      <c r="D23" s="4"/>
      <c r="E23" s="4"/>
    </row>
    <row r="24" spans="1:5" ht="18.75">
      <c r="A24" s="3"/>
      <c r="B24" s="4"/>
      <c r="C24" s="3"/>
      <c r="D24" s="3"/>
      <c r="E24" s="3"/>
    </row>
    <row r="25" spans="1:5" ht="18.75">
      <c r="A25" s="3"/>
      <c r="B25" s="9"/>
      <c r="C25" s="3"/>
      <c r="D25" s="3"/>
      <c r="E25" s="3"/>
    </row>
    <row r="26" spans="1:5" ht="15">
      <c r="A26" s="2"/>
      <c r="B26" s="2"/>
      <c r="C26" s="2"/>
      <c r="D26" s="2"/>
      <c r="E26" s="2"/>
    </row>
  </sheetData>
  <sheetProtection/>
  <mergeCells count="8">
    <mergeCell ref="F2:F6"/>
    <mergeCell ref="G2:G6"/>
    <mergeCell ref="A1:G1"/>
    <mergeCell ref="A2:A6"/>
    <mergeCell ref="B2:B6"/>
    <mergeCell ref="C2:C6"/>
    <mergeCell ref="D2:D6"/>
    <mergeCell ref="E2:E6"/>
  </mergeCells>
  <printOptions/>
  <pageMargins left="0.7874015748031497" right="0.1968503937007874" top="0.31496062992125984" bottom="0.15748031496062992" header="0" footer="0"/>
  <pageSetup horizontalDpi="600" verticalDpi="600" orientation="landscape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29"/>
  <sheetViews>
    <sheetView showZeros="0" view="pageBreakPreview" zoomScaleSheetLayoutView="100" zoomScalePageLayoutView="0" workbookViewId="0" topLeftCell="A1">
      <pane xSplit="2" ySplit="7" topLeftCell="C1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8" sqref="F8"/>
    </sheetView>
  </sheetViews>
  <sheetFormatPr defaultColWidth="9.00390625" defaultRowHeight="12.75"/>
  <cols>
    <col min="1" max="1" width="4.125" style="1" customWidth="1"/>
    <col min="2" max="2" width="22.75390625" style="1" customWidth="1"/>
    <col min="3" max="3" width="19.125" style="1" customWidth="1"/>
    <col min="4" max="4" width="23.75390625" style="39" customWidth="1"/>
    <col min="5" max="5" width="35.625" style="1" customWidth="1"/>
    <col min="6" max="6" width="21.25390625" style="1" customWidth="1"/>
    <col min="7" max="7" width="18.00390625" style="1" customWidth="1"/>
    <col min="8" max="16384" width="9.125" style="1" customWidth="1"/>
  </cols>
  <sheetData>
    <row r="1" spans="1:7" ht="33.75" customHeight="1" thickBot="1">
      <c r="A1" s="219" t="s">
        <v>43</v>
      </c>
      <c r="B1" s="219"/>
      <c r="C1" s="219"/>
      <c r="D1" s="219"/>
      <c r="E1" s="219"/>
      <c r="F1" s="219"/>
      <c r="G1" s="219"/>
    </row>
    <row r="2" spans="1:7" ht="12.75" customHeight="1">
      <c r="A2" s="220"/>
      <c r="B2" s="223" t="s">
        <v>21</v>
      </c>
      <c r="C2" s="215" t="s">
        <v>44</v>
      </c>
      <c r="D2" s="215" t="s">
        <v>111</v>
      </c>
      <c r="E2" s="216" t="s">
        <v>43</v>
      </c>
      <c r="F2" s="216" t="s">
        <v>65</v>
      </c>
      <c r="G2" s="216" t="s">
        <v>67</v>
      </c>
    </row>
    <row r="3" spans="1:7" ht="12.75" customHeight="1">
      <c r="A3" s="221"/>
      <c r="B3" s="211" t="s">
        <v>0</v>
      </c>
      <c r="C3" s="205"/>
      <c r="D3" s="205"/>
      <c r="E3" s="217"/>
      <c r="F3" s="217"/>
      <c r="G3" s="217"/>
    </row>
    <row r="4" spans="1:7" ht="15.75" customHeight="1">
      <c r="A4" s="221"/>
      <c r="B4" s="211" t="s">
        <v>1</v>
      </c>
      <c r="C4" s="205"/>
      <c r="D4" s="205"/>
      <c r="E4" s="217"/>
      <c r="F4" s="217"/>
      <c r="G4" s="217"/>
    </row>
    <row r="5" spans="1:7" ht="16.5" customHeight="1">
      <c r="A5" s="221"/>
      <c r="B5" s="211"/>
      <c r="C5" s="205"/>
      <c r="D5" s="205"/>
      <c r="E5" s="217"/>
      <c r="F5" s="217"/>
      <c r="G5" s="217"/>
    </row>
    <row r="6" spans="1:7" ht="36.75" customHeight="1">
      <c r="A6" s="222"/>
      <c r="B6" s="211"/>
      <c r="C6" s="206"/>
      <c r="D6" s="206"/>
      <c r="E6" s="218"/>
      <c r="F6" s="218"/>
      <c r="G6" s="218"/>
    </row>
    <row r="7" spans="1:8" ht="38.25" customHeight="1">
      <c r="A7" s="19"/>
      <c r="B7" s="13">
        <v>1</v>
      </c>
      <c r="C7" s="20">
        <v>2</v>
      </c>
      <c r="D7" s="21">
        <v>3</v>
      </c>
      <c r="E7" s="22" t="s">
        <v>36</v>
      </c>
      <c r="F7" s="15" t="s">
        <v>72</v>
      </c>
      <c r="G7" s="22" t="s">
        <v>68</v>
      </c>
      <c r="H7" s="7"/>
    </row>
    <row r="8" spans="1:33" s="2" customFormat="1" ht="24.75" customHeight="1">
      <c r="A8" s="23">
        <v>1</v>
      </c>
      <c r="B8" s="24" t="s">
        <v>14</v>
      </c>
      <c r="C8" s="18">
        <v>467333.15</v>
      </c>
      <c r="D8" s="12">
        <v>429112.6</v>
      </c>
      <c r="E8" s="28">
        <f>D8/C8*100</f>
        <v>91.82156241216785</v>
      </c>
      <c r="F8" s="50">
        <f aca="true" t="shared" si="0" ref="F8:F19">(E8-74.61)/(99.13-74.61)</f>
        <v>0.7019397394848227</v>
      </c>
      <c r="G8" s="48">
        <f>F8*0.05</f>
        <v>0.035096986974241136</v>
      </c>
      <c r="H8" s="29"/>
      <c r="I8" s="29"/>
      <c r="J8" s="29"/>
      <c r="K8" s="29"/>
      <c r="L8" s="29"/>
      <c r="M8" s="29"/>
      <c r="N8" s="29"/>
      <c r="O8" s="29"/>
      <c r="P8" s="29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</row>
    <row r="9" spans="1:7" s="2" customFormat="1" ht="33.75" customHeight="1">
      <c r="A9" s="25">
        <f aca="true" t="shared" si="1" ref="A9:A15">A8+1</f>
        <v>2</v>
      </c>
      <c r="B9" s="26" t="s">
        <v>3</v>
      </c>
      <c r="C9" s="18">
        <v>27519.75</v>
      </c>
      <c r="D9" s="12">
        <v>26999.57</v>
      </c>
      <c r="E9" s="28">
        <f aca="true" t="shared" si="2" ref="E9:E20">D9/C9*100</f>
        <v>98.10979387530773</v>
      </c>
      <c r="F9" s="50">
        <f t="shared" si="0"/>
        <v>0.9583928986667102</v>
      </c>
      <c r="G9" s="48">
        <f aca="true" t="shared" si="3" ref="G9:G20">F9*0.05</f>
        <v>0.04791964493333551</v>
      </c>
    </row>
    <row r="10" spans="1:10" s="2" customFormat="1" ht="29.25" customHeight="1">
      <c r="A10" s="25">
        <f t="shared" si="1"/>
        <v>3</v>
      </c>
      <c r="B10" s="26" t="s">
        <v>4</v>
      </c>
      <c r="C10" s="18">
        <v>56107.02</v>
      </c>
      <c r="D10" s="12">
        <v>54231.09</v>
      </c>
      <c r="E10" s="28">
        <f t="shared" si="2"/>
        <v>96.65651463934459</v>
      </c>
      <c r="F10" s="50">
        <f t="shared" si="0"/>
        <v>0.8991237618003506</v>
      </c>
      <c r="G10" s="48">
        <f t="shared" si="3"/>
        <v>0.04495618809001753</v>
      </c>
      <c r="I10" s="8"/>
      <c r="J10" s="8"/>
    </row>
    <row r="11" spans="1:7" s="2" customFormat="1" ht="28.5" customHeight="1">
      <c r="A11" s="25">
        <f t="shared" si="1"/>
        <v>4</v>
      </c>
      <c r="B11" s="26" t="s">
        <v>5</v>
      </c>
      <c r="C11" s="18">
        <v>47630.16</v>
      </c>
      <c r="D11" s="12">
        <v>46919.31</v>
      </c>
      <c r="E11" s="28">
        <f t="shared" si="2"/>
        <v>98.50756327503413</v>
      </c>
      <c r="F11" s="50">
        <f t="shared" si="0"/>
        <v>0.9746151417224361</v>
      </c>
      <c r="G11" s="48">
        <f t="shared" si="3"/>
        <v>0.04873075708612181</v>
      </c>
    </row>
    <row r="12" spans="1:7" s="2" customFormat="1" ht="28.5" customHeight="1">
      <c r="A12" s="25">
        <f t="shared" si="1"/>
        <v>5</v>
      </c>
      <c r="B12" s="26" t="s">
        <v>6</v>
      </c>
      <c r="C12" s="18">
        <v>53816.98</v>
      </c>
      <c r="D12" s="12">
        <v>43627.47</v>
      </c>
      <c r="E12" s="28">
        <f t="shared" si="2"/>
        <v>81.0663660428363</v>
      </c>
      <c r="F12" s="50">
        <f t="shared" si="0"/>
        <v>0.2633101975055585</v>
      </c>
      <c r="G12" s="48">
        <f t="shared" si="3"/>
        <v>0.013165509875277925</v>
      </c>
    </row>
    <row r="13" spans="1:8" s="2" customFormat="1" ht="27.75" customHeight="1">
      <c r="A13" s="25">
        <f t="shared" si="1"/>
        <v>6</v>
      </c>
      <c r="B13" s="26" t="s">
        <v>7</v>
      </c>
      <c r="C13" s="18">
        <v>36726.78</v>
      </c>
      <c r="D13" s="12">
        <v>36100.99</v>
      </c>
      <c r="E13" s="28">
        <f t="shared" si="2"/>
        <v>98.29609347729368</v>
      </c>
      <c r="F13" s="50">
        <f t="shared" si="0"/>
        <v>0.9659907617167082</v>
      </c>
      <c r="G13" s="48">
        <f t="shared" si="3"/>
        <v>0.04829953808583541</v>
      </c>
      <c r="H13" s="8"/>
    </row>
    <row r="14" spans="1:7" s="2" customFormat="1" ht="15.75">
      <c r="A14" s="25">
        <f t="shared" si="1"/>
        <v>7</v>
      </c>
      <c r="B14" s="26" t="s">
        <v>8</v>
      </c>
      <c r="C14" s="18">
        <v>49052.63</v>
      </c>
      <c r="D14" s="12">
        <v>46117.81</v>
      </c>
      <c r="E14" s="28">
        <f t="shared" si="2"/>
        <v>94.01699766149135</v>
      </c>
      <c r="F14" s="50">
        <f t="shared" si="0"/>
        <v>0.7914762504686521</v>
      </c>
      <c r="G14" s="48">
        <f t="shared" si="3"/>
        <v>0.03957381252343261</v>
      </c>
    </row>
    <row r="15" spans="1:7" s="2" customFormat="1" ht="22.5" customHeight="1">
      <c r="A15" s="25">
        <f t="shared" si="1"/>
        <v>8</v>
      </c>
      <c r="B15" s="26" t="s">
        <v>9</v>
      </c>
      <c r="C15" s="18">
        <v>58247.96</v>
      </c>
      <c r="D15" s="12">
        <v>56641.15</v>
      </c>
      <c r="E15" s="28">
        <f>D15/C15*100</f>
        <v>97.24143128789403</v>
      </c>
      <c r="F15" s="50">
        <f t="shared" si="0"/>
        <v>0.9229784375160699</v>
      </c>
      <c r="G15" s="48">
        <f t="shared" si="3"/>
        <v>0.046148921875803495</v>
      </c>
    </row>
    <row r="16" spans="1:7" s="2" customFormat="1" ht="24.75" customHeight="1">
      <c r="A16" s="25">
        <v>9</v>
      </c>
      <c r="B16" s="26" t="s">
        <v>10</v>
      </c>
      <c r="C16" s="18">
        <v>50492.48</v>
      </c>
      <c r="D16" s="12">
        <v>49977.56</v>
      </c>
      <c r="E16" s="28">
        <f t="shared" si="2"/>
        <v>98.98020457699839</v>
      </c>
      <c r="F16" s="50">
        <f t="shared" si="0"/>
        <v>0.9938908881320715</v>
      </c>
      <c r="G16" s="48">
        <f t="shared" si="3"/>
        <v>0.04969454440660358</v>
      </c>
    </row>
    <row r="17" spans="1:7" s="2" customFormat="1" ht="30.75" customHeight="1">
      <c r="A17" s="25">
        <v>10</v>
      </c>
      <c r="B17" s="26" t="s">
        <v>11</v>
      </c>
      <c r="C17" s="18">
        <v>60697.82</v>
      </c>
      <c r="D17" s="12">
        <v>58126.45</v>
      </c>
      <c r="E17" s="28">
        <f t="shared" si="2"/>
        <v>95.76365345575837</v>
      </c>
      <c r="F17" s="50">
        <f t="shared" si="0"/>
        <v>0.8627101735627397</v>
      </c>
      <c r="G17" s="48">
        <f t="shared" si="3"/>
        <v>0.04313550867813699</v>
      </c>
    </row>
    <row r="18" spans="1:8" s="2" customFormat="1" ht="28.5" customHeight="1">
      <c r="A18" s="25">
        <v>11</v>
      </c>
      <c r="B18" s="26" t="s">
        <v>12</v>
      </c>
      <c r="C18" s="18">
        <v>354577.18</v>
      </c>
      <c r="D18" s="12">
        <v>264544.69</v>
      </c>
      <c r="E18" s="28">
        <f t="shared" si="2"/>
        <v>74.6084928533754</v>
      </c>
      <c r="F18" s="50">
        <f t="shared" si="0"/>
        <v>-6.146601242268194E-05</v>
      </c>
      <c r="G18" s="48">
        <f t="shared" si="3"/>
        <v>-3.073300621134097E-06</v>
      </c>
      <c r="H18" s="2" t="s">
        <v>64</v>
      </c>
    </row>
    <row r="19" spans="1:8" s="2" customFormat="1" ht="22.5" customHeight="1">
      <c r="A19" s="25">
        <v>12</v>
      </c>
      <c r="B19" s="27" t="s">
        <v>13</v>
      </c>
      <c r="C19" s="32">
        <v>40448.49</v>
      </c>
      <c r="D19" s="37">
        <v>40095.69</v>
      </c>
      <c r="E19" s="36">
        <f t="shared" si="2"/>
        <v>99.12777955369904</v>
      </c>
      <c r="F19" s="50">
        <f t="shared" si="0"/>
        <v>0.9999094434624407</v>
      </c>
      <c r="G19" s="49">
        <f t="shared" si="3"/>
        <v>0.04999547217312204</v>
      </c>
      <c r="H19" s="2" t="s">
        <v>69</v>
      </c>
    </row>
    <row r="20" spans="1:7" s="2" customFormat="1" ht="30.75" customHeight="1" thickBot="1">
      <c r="A20" s="31"/>
      <c r="B20" s="117" t="s">
        <v>2</v>
      </c>
      <c r="C20" s="90">
        <f>SUM(C8:C19)</f>
        <v>1302650.4</v>
      </c>
      <c r="D20" s="90">
        <f>SUM(D8:D19)</f>
        <v>1152494.38</v>
      </c>
      <c r="E20" s="118">
        <f t="shared" si="2"/>
        <v>88.47303773905877</v>
      </c>
      <c r="F20" s="119">
        <f>(E20-76.52)/(99.54-76.52)</f>
        <v>0.5192457749373921</v>
      </c>
      <c r="G20" s="120">
        <f t="shared" si="3"/>
        <v>0.025962288746869608</v>
      </c>
    </row>
    <row r="21" spans="1:5" ht="15.75">
      <c r="A21" s="17"/>
      <c r="B21" s="17"/>
      <c r="C21" s="17"/>
      <c r="D21" s="6"/>
      <c r="E21" s="17"/>
    </row>
    <row r="22" spans="1:5" ht="15.75">
      <c r="A22" s="214" t="s">
        <v>20</v>
      </c>
      <c r="B22" s="214"/>
      <c r="C22" s="214"/>
      <c r="D22" s="214"/>
      <c r="E22" s="214"/>
    </row>
    <row r="23" spans="1:5" ht="15.75">
      <c r="A23" s="17"/>
      <c r="B23" s="17"/>
      <c r="C23" s="17"/>
      <c r="D23" s="6"/>
      <c r="E23" s="17"/>
    </row>
    <row r="24" spans="1:5" ht="15.75">
      <c r="A24" s="17"/>
      <c r="B24" s="17"/>
      <c r="C24" s="17"/>
      <c r="D24" s="6"/>
      <c r="E24" s="17"/>
    </row>
    <row r="25" spans="1:5" ht="15.75">
      <c r="A25" s="17"/>
      <c r="B25" s="5"/>
      <c r="C25" s="17"/>
      <c r="D25" s="6"/>
      <c r="E25" s="17"/>
    </row>
    <row r="26" spans="1:5" ht="18.75">
      <c r="A26" s="4"/>
      <c r="B26" s="4"/>
      <c r="C26" s="4"/>
      <c r="D26" s="10"/>
      <c r="E26" s="4"/>
    </row>
    <row r="27" spans="1:5" ht="18.75">
      <c r="A27" s="4"/>
      <c r="B27" s="4"/>
      <c r="C27" s="4"/>
      <c r="D27" s="10"/>
      <c r="E27" s="4"/>
    </row>
    <row r="28" spans="1:5" ht="18.75">
      <c r="A28" s="4"/>
      <c r="B28" s="4"/>
      <c r="C28" s="4"/>
      <c r="D28" s="10"/>
      <c r="E28" s="4"/>
    </row>
    <row r="29" spans="1:5" ht="18.75">
      <c r="A29" s="4"/>
      <c r="B29" s="4"/>
      <c r="C29" s="4"/>
      <c r="D29" s="10"/>
      <c r="E29" s="4"/>
    </row>
  </sheetData>
  <sheetProtection/>
  <mergeCells count="9">
    <mergeCell ref="A1:G1"/>
    <mergeCell ref="F2:F6"/>
    <mergeCell ref="A22:E22"/>
    <mergeCell ref="A2:A6"/>
    <mergeCell ref="B2:B6"/>
    <mergeCell ref="C2:C6"/>
    <mergeCell ref="D2:D6"/>
    <mergeCell ref="E2:E6"/>
    <mergeCell ref="G2:G6"/>
  </mergeCells>
  <dataValidations count="1">
    <dataValidation operator="notEqual" showErrorMessage="1" errorTitle="ОШИБКА" error="Должно быть целое положительное число!" sqref="C8"/>
  </dataValidations>
  <printOptions/>
  <pageMargins left="1.1811023622047245" right="0.1968503937007874" top="0.31496062992125984" bottom="0.15748031496062992" header="0" footer="0"/>
  <pageSetup horizontalDpi="600" verticalDpi="600" orientation="landscape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29"/>
  <sheetViews>
    <sheetView showZeros="0" view="pageBreakPreview" zoomScaleSheetLayoutView="100" zoomScalePageLayoutView="0" workbookViewId="0" topLeftCell="A1">
      <pane xSplit="2" ySplit="7" topLeftCell="C1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8" sqref="F8"/>
    </sheetView>
  </sheetViews>
  <sheetFormatPr defaultColWidth="9.00390625" defaultRowHeight="12.75"/>
  <cols>
    <col min="1" max="1" width="4.125" style="1" customWidth="1"/>
    <col min="2" max="2" width="22.75390625" style="1" customWidth="1"/>
    <col min="3" max="3" width="19.125" style="1" customWidth="1"/>
    <col min="4" max="4" width="23.75390625" style="39" customWidth="1"/>
    <col min="5" max="5" width="29.375" style="1" customWidth="1"/>
    <col min="6" max="6" width="20.875" style="1" customWidth="1"/>
    <col min="7" max="7" width="18.875" style="1" customWidth="1"/>
    <col min="8" max="16384" width="9.125" style="1" customWidth="1"/>
  </cols>
  <sheetData>
    <row r="1" spans="1:7" ht="32.25" customHeight="1" thickBot="1">
      <c r="A1" s="219" t="s">
        <v>47</v>
      </c>
      <c r="B1" s="219"/>
      <c r="C1" s="219"/>
      <c r="D1" s="219"/>
      <c r="E1" s="219"/>
      <c r="F1" s="219"/>
      <c r="G1" s="219"/>
    </row>
    <row r="2" spans="1:7" ht="12.75" customHeight="1">
      <c r="A2" s="220"/>
      <c r="B2" s="223" t="s">
        <v>21</v>
      </c>
      <c r="C2" s="215" t="s">
        <v>51</v>
      </c>
      <c r="D2" s="215" t="s">
        <v>52</v>
      </c>
      <c r="E2" s="216" t="s">
        <v>47</v>
      </c>
      <c r="F2" s="216" t="s">
        <v>65</v>
      </c>
      <c r="G2" s="216" t="s">
        <v>67</v>
      </c>
    </row>
    <row r="3" spans="1:7" ht="12.75" customHeight="1">
      <c r="A3" s="221"/>
      <c r="B3" s="211" t="s">
        <v>0</v>
      </c>
      <c r="C3" s="205"/>
      <c r="D3" s="205"/>
      <c r="E3" s="217"/>
      <c r="F3" s="217"/>
      <c r="G3" s="217"/>
    </row>
    <row r="4" spans="1:7" ht="15.75" customHeight="1">
      <c r="A4" s="221"/>
      <c r="B4" s="211" t="s">
        <v>1</v>
      </c>
      <c r="C4" s="205"/>
      <c r="D4" s="205"/>
      <c r="E4" s="217"/>
      <c r="F4" s="217"/>
      <c r="G4" s="217"/>
    </row>
    <row r="5" spans="1:7" ht="16.5" customHeight="1">
      <c r="A5" s="221"/>
      <c r="B5" s="211"/>
      <c r="C5" s="205"/>
      <c r="D5" s="205"/>
      <c r="E5" s="217"/>
      <c r="F5" s="217"/>
      <c r="G5" s="217"/>
    </row>
    <row r="6" spans="1:7" ht="58.5" customHeight="1">
      <c r="A6" s="222"/>
      <c r="B6" s="211"/>
      <c r="C6" s="206"/>
      <c r="D6" s="206"/>
      <c r="E6" s="218"/>
      <c r="F6" s="218"/>
      <c r="G6" s="218"/>
    </row>
    <row r="7" spans="1:8" ht="40.5" customHeight="1" thickBot="1">
      <c r="A7" s="19"/>
      <c r="B7" s="13">
        <v>1</v>
      </c>
      <c r="C7" s="20">
        <v>2</v>
      </c>
      <c r="D7" s="21">
        <v>3</v>
      </c>
      <c r="E7" s="40" t="s">
        <v>45</v>
      </c>
      <c r="F7" s="15" t="s">
        <v>72</v>
      </c>
      <c r="G7" s="22" t="s">
        <v>68</v>
      </c>
      <c r="H7" s="7"/>
    </row>
    <row r="8" spans="1:33" s="2" customFormat="1" ht="29.25" customHeight="1">
      <c r="A8" s="23">
        <v>1</v>
      </c>
      <c r="B8" s="24" t="s">
        <v>14</v>
      </c>
      <c r="C8" s="18">
        <v>400112.3</v>
      </c>
      <c r="D8" s="145">
        <f>'отнош. расх. на обслуж.'!F8</f>
        <v>429100.19999999995</v>
      </c>
      <c r="E8" s="146">
        <f>C8/D8*100</f>
        <v>93.24449161291466</v>
      </c>
      <c r="F8" s="140">
        <f>(E8-78.09)/(98.37-78.09)</f>
        <v>0.7472629000451012</v>
      </c>
      <c r="G8" s="147">
        <f>F8*0.05</f>
        <v>0.037363145002255065</v>
      </c>
      <c r="I8" s="29"/>
      <c r="J8" s="29"/>
      <c r="K8" s="29"/>
      <c r="L8" s="29"/>
      <c r="M8" s="29"/>
      <c r="N8" s="29"/>
      <c r="O8" s="29"/>
      <c r="P8" s="29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</row>
    <row r="9" spans="1:8" s="2" customFormat="1" ht="33.75" customHeight="1">
      <c r="A9" s="25">
        <f aca="true" t="shared" si="0" ref="A9:A15">A8+1</f>
        <v>2</v>
      </c>
      <c r="B9" s="26" t="s">
        <v>3</v>
      </c>
      <c r="C9" s="18">
        <v>25509.5</v>
      </c>
      <c r="D9" s="145">
        <f>'отнош. расх. на обслуж.'!F9</f>
        <v>26794.67</v>
      </c>
      <c r="E9" s="148">
        <f aca="true" t="shared" si="1" ref="E9:E20">C9/D9*100</f>
        <v>95.20363564843308</v>
      </c>
      <c r="F9" s="140">
        <f aca="true" t="shared" si="2" ref="F9:F19">(E9-78.09)/(98.37-78.09)</f>
        <v>0.8438676355243133</v>
      </c>
      <c r="G9" s="147">
        <f aca="true" t="shared" si="3" ref="G9:G19">F9*0.05</f>
        <v>0.04219338177621567</v>
      </c>
      <c r="H9" s="46"/>
    </row>
    <row r="10" spans="1:10" s="2" customFormat="1" ht="29.25" customHeight="1">
      <c r="A10" s="25">
        <f t="shared" si="0"/>
        <v>3</v>
      </c>
      <c r="B10" s="26" t="s">
        <v>4</v>
      </c>
      <c r="C10" s="18">
        <v>48714.5</v>
      </c>
      <c r="D10" s="145">
        <f>'отнош. расх. на обслуж.'!F10</f>
        <v>54026.189999999995</v>
      </c>
      <c r="E10" s="148">
        <f t="shared" si="1"/>
        <v>90.16830540891372</v>
      </c>
      <c r="F10" s="140">
        <f t="shared" si="2"/>
        <v>0.5955771897886449</v>
      </c>
      <c r="G10" s="147">
        <f t="shared" si="3"/>
        <v>0.02977885948943225</v>
      </c>
      <c r="I10" s="8"/>
      <c r="J10" s="8"/>
    </row>
    <row r="11" spans="1:7" s="2" customFormat="1" ht="28.5" customHeight="1">
      <c r="A11" s="25">
        <f t="shared" si="0"/>
        <v>4</v>
      </c>
      <c r="B11" s="26" t="s">
        <v>5</v>
      </c>
      <c r="C11" s="18">
        <v>45807.8</v>
      </c>
      <c r="D11" s="145">
        <f>'отнош. расх. на обслуж.'!F11</f>
        <v>46714.409999999996</v>
      </c>
      <c r="E11" s="148">
        <f t="shared" si="1"/>
        <v>98.05924981178185</v>
      </c>
      <c r="F11" s="140">
        <f t="shared" si="2"/>
        <v>0.9846770124152786</v>
      </c>
      <c r="G11" s="147">
        <f t="shared" si="3"/>
        <v>0.049233850620763936</v>
      </c>
    </row>
    <row r="12" spans="1:7" s="2" customFormat="1" ht="28.5" customHeight="1">
      <c r="A12" s="25">
        <f t="shared" si="0"/>
        <v>5</v>
      </c>
      <c r="B12" s="26" t="s">
        <v>6</v>
      </c>
      <c r="C12" s="18">
        <v>35391.4</v>
      </c>
      <c r="D12" s="145">
        <f>'отнош. расх. на обслуж.'!F12</f>
        <v>43422.57</v>
      </c>
      <c r="E12" s="148">
        <f t="shared" si="1"/>
        <v>81.50461845072735</v>
      </c>
      <c r="F12" s="140">
        <f t="shared" si="2"/>
        <v>0.16837369086426754</v>
      </c>
      <c r="G12" s="147">
        <f t="shared" si="3"/>
        <v>0.008418684543213378</v>
      </c>
    </row>
    <row r="13" spans="1:7" s="2" customFormat="1" ht="27.75" customHeight="1">
      <c r="A13" s="25">
        <f t="shared" si="0"/>
        <v>6</v>
      </c>
      <c r="B13" s="26" t="s">
        <v>7</v>
      </c>
      <c r="C13" s="18">
        <v>35077.7</v>
      </c>
      <c r="D13" s="145">
        <f>'отнош. расх. на обслуж.'!F13</f>
        <v>35896.09</v>
      </c>
      <c r="E13" s="148">
        <f t="shared" si="1"/>
        <v>97.72011380626692</v>
      </c>
      <c r="F13" s="140">
        <f t="shared" si="2"/>
        <v>0.9679543296975798</v>
      </c>
      <c r="G13" s="147">
        <f t="shared" si="3"/>
        <v>0.04839771648487899</v>
      </c>
    </row>
    <row r="14" spans="1:7" s="2" customFormat="1" ht="15.75">
      <c r="A14" s="25">
        <f t="shared" si="0"/>
        <v>7</v>
      </c>
      <c r="B14" s="26" t="s">
        <v>8</v>
      </c>
      <c r="C14" s="18">
        <v>37186.2</v>
      </c>
      <c r="D14" s="145">
        <f>'отнош. расх. на обслуж.'!F14</f>
        <v>45708.11</v>
      </c>
      <c r="E14" s="148">
        <f t="shared" si="1"/>
        <v>81.35580316053321</v>
      </c>
      <c r="F14" s="140">
        <f t="shared" si="2"/>
        <v>0.1610356588034127</v>
      </c>
      <c r="G14" s="147">
        <f t="shared" si="3"/>
        <v>0.008051782940170634</v>
      </c>
    </row>
    <row r="15" spans="1:8" s="2" customFormat="1" ht="22.5" customHeight="1">
      <c r="A15" s="25">
        <f t="shared" si="0"/>
        <v>8</v>
      </c>
      <c r="B15" s="26" t="s">
        <v>9</v>
      </c>
      <c r="C15" s="18">
        <v>44072</v>
      </c>
      <c r="D15" s="145">
        <f>'отнош. расх. на обслуж.'!F15</f>
        <v>56436.25</v>
      </c>
      <c r="E15" s="148">
        <f t="shared" si="1"/>
        <v>78.0916520853175</v>
      </c>
      <c r="F15" s="140">
        <f t="shared" si="2"/>
        <v>8.146377305238575E-05</v>
      </c>
      <c r="G15" s="147">
        <f t="shared" si="3"/>
        <v>4.073188652619288E-06</v>
      </c>
      <c r="H15" s="2" t="s">
        <v>64</v>
      </c>
    </row>
    <row r="16" spans="1:8" s="2" customFormat="1" ht="24.75" customHeight="1">
      <c r="A16" s="25">
        <v>9</v>
      </c>
      <c r="B16" s="26" t="s">
        <v>10</v>
      </c>
      <c r="C16" s="18">
        <v>48962.3</v>
      </c>
      <c r="D16" s="145">
        <f>'отнош. расх. на обслуж.'!F16</f>
        <v>49772.659999999996</v>
      </c>
      <c r="E16" s="148">
        <f t="shared" si="1"/>
        <v>98.37187725148708</v>
      </c>
      <c r="F16" s="140">
        <f t="shared" si="2"/>
        <v>1.0000925666413745</v>
      </c>
      <c r="G16" s="147">
        <f t="shared" si="3"/>
        <v>0.05000462833206873</v>
      </c>
      <c r="H16" s="29" t="s">
        <v>69</v>
      </c>
    </row>
    <row r="17" spans="1:7" s="2" customFormat="1" ht="30.75" customHeight="1">
      <c r="A17" s="25">
        <v>10</v>
      </c>
      <c r="B17" s="26" t="s">
        <v>11</v>
      </c>
      <c r="C17" s="18">
        <v>56335.5</v>
      </c>
      <c r="D17" s="145">
        <f>'отнош. расх. на обслуж.'!F17</f>
        <v>57716.75</v>
      </c>
      <c r="E17" s="148">
        <f t="shared" si="1"/>
        <v>97.60684723238921</v>
      </c>
      <c r="F17" s="140">
        <f t="shared" si="2"/>
        <v>0.9623691929186</v>
      </c>
      <c r="G17" s="147">
        <f t="shared" si="3"/>
        <v>0.048118459645930006</v>
      </c>
    </row>
    <row r="18" spans="1:7" s="2" customFormat="1" ht="28.5" customHeight="1">
      <c r="A18" s="25">
        <v>11</v>
      </c>
      <c r="B18" s="26" t="s">
        <v>12</v>
      </c>
      <c r="C18" s="18">
        <v>208786.1</v>
      </c>
      <c r="D18" s="145">
        <f>'отнош. расх. на обслуж.'!F18</f>
        <v>264134.99</v>
      </c>
      <c r="E18" s="148">
        <f t="shared" si="1"/>
        <v>79.0452260792862</v>
      </c>
      <c r="F18" s="140">
        <f t="shared" si="2"/>
        <v>0.0471018776768339</v>
      </c>
      <c r="G18" s="147">
        <f t="shared" si="3"/>
        <v>0.002355093883841695</v>
      </c>
    </row>
    <row r="19" spans="1:7" s="2" customFormat="1" ht="22.5" customHeight="1" thickBot="1">
      <c r="A19" s="25">
        <v>12</v>
      </c>
      <c r="B19" s="27" t="s">
        <v>13</v>
      </c>
      <c r="C19" s="32">
        <v>39084.1</v>
      </c>
      <c r="D19" s="145">
        <f>'отнош. расх. на обслуж.'!F19</f>
        <v>39890.79</v>
      </c>
      <c r="E19" s="149">
        <f t="shared" si="1"/>
        <v>97.97775376220926</v>
      </c>
      <c r="F19" s="140">
        <f t="shared" si="2"/>
        <v>0.9806584695369456</v>
      </c>
      <c r="G19" s="147">
        <f t="shared" si="3"/>
        <v>0.04903292347684728</v>
      </c>
    </row>
    <row r="20" spans="1:7" s="2" customFormat="1" ht="30.75" customHeight="1" thickBot="1">
      <c r="A20" s="31"/>
      <c r="B20" s="33" t="s">
        <v>2</v>
      </c>
      <c r="C20" s="34">
        <f>SUM(C8:C19)</f>
        <v>1025039.3999999999</v>
      </c>
      <c r="D20" s="38">
        <f>SUM(D8:D19)</f>
        <v>1149613.68</v>
      </c>
      <c r="E20" s="52">
        <f t="shared" si="1"/>
        <v>89.1638137082711</v>
      </c>
      <c r="F20" s="121">
        <f>(E20-78.09)/(98.37-78.09)</f>
        <v>0.5460460408417703</v>
      </c>
      <c r="G20" s="67">
        <f>F20*0.05</f>
        <v>0.027302302042088517</v>
      </c>
    </row>
    <row r="21" spans="1:5" ht="15.75">
      <c r="A21" s="17"/>
      <c r="B21" s="17"/>
      <c r="C21" s="17"/>
      <c r="D21" s="6"/>
      <c r="E21" s="17"/>
    </row>
    <row r="22" spans="1:5" ht="15.75">
      <c r="A22" s="214" t="s">
        <v>20</v>
      </c>
      <c r="B22" s="214"/>
      <c r="C22" s="214"/>
      <c r="D22" s="214"/>
      <c r="E22" s="214"/>
    </row>
    <row r="23" spans="1:5" ht="15.75">
      <c r="A23" s="17"/>
      <c r="B23" s="17"/>
      <c r="C23" s="17"/>
      <c r="D23" s="6"/>
      <c r="E23" s="17"/>
    </row>
    <row r="24" spans="1:5" ht="15.75">
      <c r="A24" s="17"/>
      <c r="B24" s="17"/>
      <c r="C24" s="17"/>
      <c r="D24" s="6"/>
      <c r="E24" s="17"/>
    </row>
    <row r="25" spans="1:5" ht="15.75">
      <c r="A25" s="17"/>
      <c r="B25" s="5"/>
      <c r="C25" s="17"/>
      <c r="D25" s="6"/>
      <c r="E25" s="17"/>
    </row>
    <row r="26" spans="1:5" ht="18.75">
      <c r="A26" s="4"/>
      <c r="B26" s="4"/>
      <c r="C26" s="4"/>
      <c r="D26" s="10"/>
      <c r="E26" s="4"/>
    </row>
    <row r="27" spans="1:5" ht="18.75">
      <c r="A27" s="4"/>
      <c r="B27" s="4"/>
      <c r="C27" s="4"/>
      <c r="D27" s="10"/>
      <c r="E27" s="4"/>
    </row>
    <row r="28" spans="1:5" ht="18.75">
      <c r="A28" s="4"/>
      <c r="B28" s="4"/>
      <c r="C28" s="4"/>
      <c r="D28" s="10"/>
      <c r="E28" s="4"/>
    </row>
    <row r="29" spans="1:5" ht="18.75">
      <c r="A29" s="4"/>
      <c r="B29" s="4"/>
      <c r="C29" s="4"/>
      <c r="D29" s="10"/>
      <c r="E29" s="4"/>
    </row>
  </sheetData>
  <sheetProtection/>
  <mergeCells count="9">
    <mergeCell ref="A1:G1"/>
    <mergeCell ref="F2:F6"/>
    <mergeCell ref="A22:E22"/>
    <mergeCell ref="A2:A6"/>
    <mergeCell ref="B2:B6"/>
    <mergeCell ref="C2:C6"/>
    <mergeCell ref="D2:D6"/>
    <mergeCell ref="E2:E6"/>
    <mergeCell ref="G2:G6"/>
  </mergeCells>
  <dataValidations count="1">
    <dataValidation operator="notEqual" showErrorMessage="1" errorTitle="ОШИБКА" error="Должно быть целое положительное число!" sqref="C8"/>
  </dataValidations>
  <printOptions/>
  <pageMargins left="1.1811023622047245" right="0.1968503937007874" top="0.31496062992125984" bottom="0.15748031496062992" header="0" footer="0"/>
  <pageSetup horizontalDpi="600" verticalDpi="600" orientation="landscape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29"/>
  <sheetViews>
    <sheetView showZeros="0"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17" sqref="E17"/>
    </sheetView>
  </sheetViews>
  <sheetFormatPr defaultColWidth="9.00390625" defaultRowHeight="12.75"/>
  <cols>
    <col min="1" max="1" width="4.125" style="1" customWidth="1"/>
    <col min="2" max="2" width="22.75390625" style="1" customWidth="1"/>
    <col min="3" max="3" width="19.125" style="1" customWidth="1"/>
    <col min="4" max="4" width="27.375" style="39" customWidth="1"/>
    <col min="5" max="5" width="40.875" style="1" customWidth="1"/>
    <col min="6" max="6" width="19.625" style="1" customWidth="1"/>
    <col min="7" max="7" width="20.25390625" style="1" customWidth="1"/>
    <col min="8" max="16384" width="9.125" style="1" customWidth="1"/>
  </cols>
  <sheetData>
    <row r="1" spans="1:7" ht="62.25" customHeight="1" thickBot="1">
      <c r="A1" s="219" t="s">
        <v>48</v>
      </c>
      <c r="B1" s="219"/>
      <c r="C1" s="219"/>
      <c r="D1" s="219"/>
      <c r="E1" s="219"/>
      <c r="F1" s="219"/>
      <c r="G1" s="219"/>
    </row>
    <row r="2" spans="1:7" ht="12.75" customHeight="1">
      <c r="A2" s="220"/>
      <c r="B2" s="223" t="s">
        <v>21</v>
      </c>
      <c r="C2" s="215" t="s">
        <v>49</v>
      </c>
      <c r="D2" s="215" t="s">
        <v>50</v>
      </c>
      <c r="E2" s="216" t="s">
        <v>48</v>
      </c>
      <c r="F2" s="216" t="s">
        <v>65</v>
      </c>
      <c r="G2" s="216" t="s">
        <v>67</v>
      </c>
    </row>
    <row r="3" spans="1:7" ht="12.75" customHeight="1">
      <c r="A3" s="221"/>
      <c r="B3" s="211" t="s">
        <v>0</v>
      </c>
      <c r="C3" s="205"/>
      <c r="D3" s="205"/>
      <c r="E3" s="217"/>
      <c r="F3" s="217"/>
      <c r="G3" s="217"/>
    </row>
    <row r="4" spans="1:7" ht="15.75" customHeight="1">
      <c r="A4" s="221"/>
      <c r="B4" s="211" t="s">
        <v>1</v>
      </c>
      <c r="C4" s="205"/>
      <c r="D4" s="205"/>
      <c r="E4" s="217"/>
      <c r="F4" s="217"/>
      <c r="G4" s="217"/>
    </row>
    <row r="5" spans="1:7" ht="16.5" customHeight="1">
      <c r="A5" s="221"/>
      <c r="B5" s="211"/>
      <c r="C5" s="205"/>
      <c r="D5" s="205"/>
      <c r="E5" s="217"/>
      <c r="F5" s="217"/>
      <c r="G5" s="217"/>
    </row>
    <row r="6" spans="1:7" ht="126.75" customHeight="1">
      <c r="A6" s="222"/>
      <c r="B6" s="211"/>
      <c r="C6" s="206"/>
      <c r="D6" s="206"/>
      <c r="E6" s="218"/>
      <c r="F6" s="218"/>
      <c r="G6" s="218"/>
    </row>
    <row r="7" spans="1:8" ht="35.25" customHeight="1">
      <c r="A7" s="19"/>
      <c r="B7" s="13">
        <v>1</v>
      </c>
      <c r="C7" s="20">
        <v>2</v>
      </c>
      <c r="D7" s="21">
        <v>3</v>
      </c>
      <c r="E7" s="22" t="s">
        <v>45</v>
      </c>
      <c r="F7" s="15" t="s">
        <v>72</v>
      </c>
      <c r="G7" s="22" t="s">
        <v>68</v>
      </c>
      <c r="H7" s="7"/>
    </row>
    <row r="8" spans="1:33" s="2" customFormat="1" ht="35.25" customHeight="1">
      <c r="A8" s="23">
        <v>1</v>
      </c>
      <c r="B8" s="24" t="s">
        <v>14</v>
      </c>
      <c r="C8" s="18">
        <v>92803.4</v>
      </c>
      <c r="D8" s="12">
        <f>'отнош. расх. на обслуж.'!F8-'отнош. расх. на обслуж.'!C8</f>
        <v>429090.19999999995</v>
      </c>
      <c r="E8" s="136">
        <f>C8/D8*100</f>
        <v>21.62794675804761</v>
      </c>
      <c r="F8" s="147">
        <f>(E8-8.749)/(34.937-8.749)</f>
        <v>0.491788099818528</v>
      </c>
      <c r="G8" s="147">
        <f>F8*0.05</f>
        <v>0.024589404990926402</v>
      </c>
      <c r="I8" s="29"/>
      <c r="J8" s="29"/>
      <c r="K8" s="29"/>
      <c r="L8" s="29"/>
      <c r="M8" s="29"/>
      <c r="N8" s="29"/>
      <c r="O8" s="29"/>
      <c r="P8" s="29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</row>
    <row r="9" spans="1:8" s="2" customFormat="1" ht="33.75" customHeight="1">
      <c r="A9" s="25">
        <f aca="true" t="shared" si="0" ref="A9:A15">A8+1</f>
        <v>2</v>
      </c>
      <c r="B9" s="26" t="s">
        <v>3</v>
      </c>
      <c r="C9" s="18">
        <v>2344.1</v>
      </c>
      <c r="D9" s="12">
        <f>'отнош. расх. на обслуж.'!F9-'отнош. расх. на обслуж.'!C9</f>
        <v>26792.839999999997</v>
      </c>
      <c r="E9" s="136">
        <f aca="true" t="shared" si="1" ref="E9:E20">C9/D9*100</f>
        <v>8.748979204892054</v>
      </c>
      <c r="F9" s="147">
        <f aca="true" t="shared" si="2" ref="F9:F20">(E9-8.749)/(34.937-8.749)</f>
        <v>-7.940701064122887E-07</v>
      </c>
      <c r="G9" s="147">
        <f aca="true" t="shared" si="3" ref="G9:G19">F9*0.05</f>
        <v>-3.970350532061444E-08</v>
      </c>
      <c r="H9" s="2" t="s">
        <v>64</v>
      </c>
    </row>
    <row r="10" spans="1:10" s="2" customFormat="1" ht="29.25" customHeight="1">
      <c r="A10" s="25">
        <f t="shared" si="0"/>
        <v>3</v>
      </c>
      <c r="B10" s="26" t="s">
        <v>4</v>
      </c>
      <c r="C10" s="18">
        <v>7430.9</v>
      </c>
      <c r="D10" s="12">
        <f>'отнош. расх. на обслуж.'!F10-'отнош. расх. на обслуж.'!C10</f>
        <v>54025.409999999996</v>
      </c>
      <c r="E10" s="136">
        <f t="shared" si="1"/>
        <v>13.75445369132784</v>
      </c>
      <c r="F10" s="147">
        <f t="shared" si="2"/>
        <v>0.19113539374247135</v>
      </c>
      <c r="G10" s="147">
        <f t="shared" si="3"/>
        <v>0.009556769687123568</v>
      </c>
      <c r="I10" s="8"/>
      <c r="J10" s="8"/>
    </row>
    <row r="11" spans="1:7" s="2" customFormat="1" ht="28.5" customHeight="1">
      <c r="A11" s="25">
        <f t="shared" si="0"/>
        <v>4</v>
      </c>
      <c r="B11" s="26" t="s">
        <v>5</v>
      </c>
      <c r="C11" s="18">
        <v>4444.8</v>
      </c>
      <c r="D11" s="12">
        <f>'отнош. расх. на обслуж.'!F11-'отнош. расх. на обслуж.'!C11</f>
        <v>46711.92999999999</v>
      </c>
      <c r="E11" s="136">
        <f t="shared" si="1"/>
        <v>9.515342226279241</v>
      </c>
      <c r="F11" s="147">
        <f t="shared" si="2"/>
        <v>0.029263106242524844</v>
      </c>
      <c r="G11" s="147">
        <f t="shared" si="3"/>
        <v>0.0014631553121262422</v>
      </c>
    </row>
    <row r="12" spans="1:7" s="2" customFormat="1" ht="28.5" customHeight="1">
      <c r="A12" s="25">
        <f t="shared" si="0"/>
        <v>5</v>
      </c>
      <c r="B12" s="26" t="s">
        <v>6</v>
      </c>
      <c r="C12" s="18">
        <v>5189.4</v>
      </c>
      <c r="D12" s="12">
        <f>'отнош. расх. на обслуж.'!F12-'отнош. расх. на обслуж.'!C12</f>
        <v>43422.57</v>
      </c>
      <c r="E12" s="136">
        <f t="shared" si="1"/>
        <v>11.950927823940406</v>
      </c>
      <c r="F12" s="147">
        <f t="shared" si="2"/>
        <v>0.12226698579274499</v>
      </c>
      <c r="G12" s="147">
        <f t="shared" si="3"/>
        <v>0.00611334928963725</v>
      </c>
    </row>
    <row r="13" spans="1:7" s="2" customFormat="1" ht="27.75" customHeight="1">
      <c r="A13" s="25">
        <f t="shared" si="0"/>
        <v>6</v>
      </c>
      <c r="B13" s="26" t="s">
        <v>7</v>
      </c>
      <c r="C13" s="18">
        <v>5236.4</v>
      </c>
      <c r="D13" s="12">
        <f>'отнош. расх. на обслуж.'!F13-'отнош. расх. на обслуж.'!C13</f>
        <v>35894.81</v>
      </c>
      <c r="E13" s="136">
        <f t="shared" si="1"/>
        <v>14.588181411184515</v>
      </c>
      <c r="F13" s="147">
        <f t="shared" si="2"/>
        <v>0.22297164392792557</v>
      </c>
      <c r="G13" s="147">
        <f t="shared" si="3"/>
        <v>0.011148582196396278</v>
      </c>
    </row>
    <row r="14" spans="1:7" s="2" customFormat="1" ht="15.75">
      <c r="A14" s="25">
        <f t="shared" si="0"/>
        <v>7</v>
      </c>
      <c r="B14" s="26" t="s">
        <v>8</v>
      </c>
      <c r="C14" s="18">
        <v>4612.5</v>
      </c>
      <c r="D14" s="12">
        <f>'отнош. расх. на обслуж.'!F14-'отнош. расх. на обслуж.'!C14</f>
        <v>45704.41</v>
      </c>
      <c r="E14" s="136">
        <f t="shared" si="1"/>
        <v>10.092023942547337</v>
      </c>
      <c r="F14" s="147">
        <f t="shared" si="2"/>
        <v>0.051283944652029054</v>
      </c>
      <c r="G14" s="147">
        <f t="shared" si="3"/>
        <v>0.0025641972326014527</v>
      </c>
    </row>
    <row r="15" spans="1:7" s="2" customFormat="1" ht="22.5" customHeight="1">
      <c r="A15" s="25">
        <f t="shared" si="0"/>
        <v>8</v>
      </c>
      <c r="B15" s="26" t="s">
        <v>9</v>
      </c>
      <c r="C15" s="18">
        <v>5899.3</v>
      </c>
      <c r="D15" s="12">
        <f>'отнош. расх. на обслуж.'!F15-'отнош. расх. на обслуж.'!C15</f>
        <v>56430.43</v>
      </c>
      <c r="E15" s="136">
        <f t="shared" si="1"/>
        <v>10.454111372179868</v>
      </c>
      <c r="F15" s="147">
        <f t="shared" si="2"/>
        <v>0.06511040828546923</v>
      </c>
      <c r="G15" s="147">
        <f t="shared" si="3"/>
        <v>0.0032555204142734615</v>
      </c>
    </row>
    <row r="16" spans="1:7" s="2" customFormat="1" ht="24.75" customHeight="1">
      <c r="A16" s="25">
        <v>9</v>
      </c>
      <c r="B16" s="26" t="s">
        <v>10</v>
      </c>
      <c r="C16" s="18">
        <v>4543.09</v>
      </c>
      <c r="D16" s="12">
        <f>'отнош. расх. на обслуж.'!F16-'отнош. расх. на обслуж.'!C16</f>
        <v>49772.659999999996</v>
      </c>
      <c r="E16" s="136">
        <f t="shared" si="1"/>
        <v>9.127681743350667</v>
      </c>
      <c r="F16" s="147">
        <f t="shared" si="2"/>
        <v>0.01446012461244336</v>
      </c>
      <c r="G16" s="147">
        <f t="shared" si="3"/>
        <v>0.0007230062306221681</v>
      </c>
    </row>
    <row r="17" spans="1:8" s="2" customFormat="1" ht="30.75" customHeight="1">
      <c r="A17" s="25">
        <v>10</v>
      </c>
      <c r="B17" s="26" t="s">
        <v>11</v>
      </c>
      <c r="C17" s="18">
        <v>20164.5</v>
      </c>
      <c r="D17" s="12">
        <f>'отнош. расх. на обслуж.'!F17</f>
        <v>57716.75</v>
      </c>
      <c r="E17" s="136">
        <f t="shared" si="1"/>
        <v>34.936998358362175</v>
      </c>
      <c r="F17" s="147">
        <f t="shared" si="2"/>
        <v>0.9999999373133563</v>
      </c>
      <c r="G17" s="147">
        <f t="shared" si="3"/>
        <v>0.04999999686566782</v>
      </c>
      <c r="H17" s="2" t="s">
        <v>69</v>
      </c>
    </row>
    <row r="18" spans="1:7" s="2" customFormat="1" ht="28.5" customHeight="1">
      <c r="A18" s="25">
        <v>11</v>
      </c>
      <c r="B18" s="26" t="s">
        <v>12</v>
      </c>
      <c r="C18" s="18">
        <v>30061.4</v>
      </c>
      <c r="D18" s="12">
        <f>'отнош. расх. на обслуж.'!F18-'отнош. расх. на обслуж.'!C18</f>
        <v>264134.99</v>
      </c>
      <c r="E18" s="136">
        <f t="shared" si="1"/>
        <v>11.381074502851742</v>
      </c>
      <c r="F18" s="147">
        <f t="shared" si="2"/>
        <v>0.10050689257872851</v>
      </c>
      <c r="G18" s="147">
        <f t="shared" si="3"/>
        <v>0.005025344628936426</v>
      </c>
    </row>
    <row r="19" spans="1:7" s="2" customFormat="1" ht="22.5" customHeight="1" thickBot="1">
      <c r="A19" s="25">
        <v>12</v>
      </c>
      <c r="B19" s="27" t="s">
        <v>13</v>
      </c>
      <c r="C19" s="32">
        <v>4332.7</v>
      </c>
      <c r="D19" s="12">
        <f>'отнош. расх. на обслуж.'!F19</f>
        <v>39890.79</v>
      </c>
      <c r="E19" s="137">
        <f t="shared" si="1"/>
        <v>10.86140434922447</v>
      </c>
      <c r="F19" s="147">
        <f t="shared" si="2"/>
        <v>0.08066306511472697</v>
      </c>
      <c r="G19" s="147">
        <f t="shared" si="3"/>
        <v>0.004033153255736349</v>
      </c>
    </row>
    <row r="20" spans="1:7" s="2" customFormat="1" ht="30.75" customHeight="1" thickBot="1">
      <c r="A20" s="31"/>
      <c r="B20" s="33" t="s">
        <v>2</v>
      </c>
      <c r="C20" s="34">
        <f>SUM(C8:C19)</f>
        <v>187062.49</v>
      </c>
      <c r="D20" s="34">
        <f>SUM(D8:D19)</f>
        <v>1149587.79</v>
      </c>
      <c r="E20" s="70">
        <f t="shared" si="1"/>
        <v>16.272136119330217</v>
      </c>
      <c r="F20" s="122">
        <f t="shared" si="2"/>
        <v>0.2872741759328783</v>
      </c>
      <c r="G20" s="67">
        <f>F20*0.05</f>
        <v>0.014363708796643915</v>
      </c>
    </row>
    <row r="21" spans="1:7" ht="15.75">
      <c r="A21" s="17"/>
      <c r="B21" s="17"/>
      <c r="C21" s="17"/>
      <c r="D21" s="6"/>
      <c r="E21" s="17"/>
      <c r="F21" s="7"/>
      <c r="G21" s="7"/>
    </row>
    <row r="22" spans="1:5" ht="15.75">
      <c r="A22" s="214" t="s">
        <v>20</v>
      </c>
      <c r="B22" s="214"/>
      <c r="C22" s="214"/>
      <c r="D22" s="214"/>
      <c r="E22" s="214"/>
    </row>
    <row r="23" spans="1:5" ht="15.75">
      <c r="A23" s="17"/>
      <c r="B23" s="17"/>
      <c r="C23" s="17"/>
      <c r="D23" s="6"/>
      <c r="E23" s="17"/>
    </row>
    <row r="24" spans="1:5" ht="15.75">
      <c r="A24" s="17"/>
      <c r="B24" s="17"/>
      <c r="C24" s="17"/>
      <c r="D24" s="6"/>
      <c r="E24" s="17"/>
    </row>
    <row r="25" spans="1:5" ht="15.75">
      <c r="A25" s="17"/>
      <c r="B25" s="5"/>
      <c r="C25" s="17"/>
      <c r="D25" s="6"/>
      <c r="E25" s="17"/>
    </row>
    <row r="26" spans="1:5" ht="18.75">
      <c r="A26" s="4"/>
      <c r="B26" s="4"/>
      <c r="C26" s="4"/>
      <c r="D26" s="10"/>
      <c r="E26" s="4"/>
    </row>
    <row r="27" spans="1:5" ht="18.75">
      <c r="A27" s="4"/>
      <c r="B27" s="4"/>
      <c r="C27" s="4"/>
      <c r="D27" s="10"/>
      <c r="E27" s="4"/>
    </row>
    <row r="28" spans="1:5" ht="18.75">
      <c r="A28" s="4"/>
      <c r="B28" s="4"/>
      <c r="C28" s="4"/>
      <c r="D28" s="10"/>
      <c r="E28" s="4"/>
    </row>
    <row r="29" spans="1:5" ht="18.75">
      <c r="A29" s="4"/>
      <c r="B29" s="4"/>
      <c r="C29" s="4"/>
      <c r="D29" s="10"/>
      <c r="E29" s="4"/>
    </row>
  </sheetData>
  <sheetProtection/>
  <mergeCells count="9">
    <mergeCell ref="A1:G1"/>
    <mergeCell ref="F2:F6"/>
    <mergeCell ref="A22:E22"/>
    <mergeCell ref="A2:A6"/>
    <mergeCell ref="B2:B6"/>
    <mergeCell ref="C2:C6"/>
    <mergeCell ref="D2:D6"/>
    <mergeCell ref="E2:E6"/>
    <mergeCell ref="G2:G6"/>
  </mergeCells>
  <dataValidations count="1">
    <dataValidation operator="notEqual" showErrorMessage="1" errorTitle="ОШИБКА" error="Должно быть целое положительное число!" sqref="C8"/>
  </dataValidations>
  <printOptions/>
  <pageMargins left="1.1811023622047245" right="0.1968503937007874" top="0.31496062992125984" bottom="0.15748031496062992" header="0" footer="0"/>
  <pageSetup horizontalDpi="600" verticalDpi="600" orientation="landscape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G29"/>
  <sheetViews>
    <sheetView showZeros="0"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20" sqref="F20"/>
    </sheetView>
  </sheetViews>
  <sheetFormatPr defaultColWidth="9.00390625" defaultRowHeight="12.75"/>
  <cols>
    <col min="1" max="1" width="4.125" style="1" customWidth="1"/>
    <col min="2" max="2" width="22.75390625" style="1" customWidth="1"/>
    <col min="3" max="3" width="27.875" style="1" customWidth="1"/>
    <col min="4" max="4" width="23.75390625" style="39" customWidth="1"/>
    <col min="5" max="5" width="34.375" style="1" customWidth="1"/>
    <col min="6" max="6" width="21.625" style="1" customWidth="1"/>
    <col min="7" max="7" width="22.375" style="1" customWidth="1"/>
    <col min="8" max="16384" width="9.125" style="1" customWidth="1"/>
  </cols>
  <sheetData>
    <row r="1" spans="1:7" ht="45.75" customHeight="1" thickBot="1">
      <c r="A1" s="219" t="s">
        <v>55</v>
      </c>
      <c r="B1" s="219"/>
      <c r="C1" s="219"/>
      <c r="D1" s="219"/>
      <c r="E1" s="219"/>
      <c r="F1" s="219"/>
      <c r="G1" s="219"/>
    </row>
    <row r="2" spans="1:7" ht="12.75" customHeight="1">
      <c r="A2" s="220"/>
      <c r="B2" s="223" t="s">
        <v>21</v>
      </c>
      <c r="C2" s="215" t="s">
        <v>56</v>
      </c>
      <c r="D2" s="215" t="s">
        <v>54</v>
      </c>
      <c r="E2" s="216" t="s">
        <v>53</v>
      </c>
      <c r="F2" s="216" t="s">
        <v>65</v>
      </c>
      <c r="G2" s="216" t="s">
        <v>67</v>
      </c>
    </row>
    <row r="3" spans="1:7" ht="12.75" customHeight="1">
      <c r="A3" s="221"/>
      <c r="B3" s="211" t="s">
        <v>0</v>
      </c>
      <c r="C3" s="205"/>
      <c r="D3" s="205"/>
      <c r="E3" s="217"/>
      <c r="F3" s="217"/>
      <c r="G3" s="217"/>
    </row>
    <row r="4" spans="1:7" ht="15.75" customHeight="1">
      <c r="A4" s="221"/>
      <c r="B4" s="211" t="s">
        <v>1</v>
      </c>
      <c r="C4" s="205"/>
      <c r="D4" s="205"/>
      <c r="E4" s="217"/>
      <c r="F4" s="217"/>
      <c r="G4" s="217"/>
    </row>
    <row r="5" spans="1:7" ht="16.5" customHeight="1">
      <c r="A5" s="221"/>
      <c r="B5" s="211"/>
      <c r="C5" s="205"/>
      <c r="D5" s="205"/>
      <c r="E5" s="217"/>
      <c r="F5" s="217"/>
      <c r="G5" s="217"/>
    </row>
    <row r="6" spans="1:7" ht="79.5" customHeight="1">
      <c r="A6" s="222"/>
      <c r="B6" s="211"/>
      <c r="C6" s="206"/>
      <c r="D6" s="206"/>
      <c r="E6" s="218"/>
      <c r="F6" s="218"/>
      <c r="G6" s="218"/>
    </row>
    <row r="7" spans="1:8" ht="45" customHeight="1">
      <c r="A7" s="19"/>
      <c r="B7" s="13">
        <v>1</v>
      </c>
      <c r="C7" s="20">
        <v>2</v>
      </c>
      <c r="D7" s="21">
        <v>3</v>
      </c>
      <c r="E7" s="22" t="s">
        <v>45</v>
      </c>
      <c r="F7" s="15" t="s">
        <v>66</v>
      </c>
      <c r="G7" s="22" t="s">
        <v>68</v>
      </c>
      <c r="H7" s="7"/>
    </row>
    <row r="8" spans="1:33" s="2" customFormat="1" ht="24.75" customHeight="1">
      <c r="A8" s="23">
        <v>1</v>
      </c>
      <c r="B8" s="24" t="s">
        <v>14</v>
      </c>
      <c r="C8" s="18">
        <f>'доля расх. на сод. аппарата'!C8</f>
        <v>18657.14</v>
      </c>
      <c r="D8" s="12">
        <f>программы!D8</f>
        <v>429100.19999999995</v>
      </c>
      <c r="E8" s="136">
        <f>C8/D8*100</f>
        <v>4.347968143571129</v>
      </c>
      <c r="F8" s="152">
        <f>(18.093-E8)/(18.093-2.672)</f>
        <v>0.8913191009940257</v>
      </c>
      <c r="G8" s="147">
        <f>F8*0.05</f>
        <v>0.04456595504970129</v>
      </c>
      <c r="I8" s="29"/>
      <c r="J8" s="29"/>
      <c r="K8" s="29"/>
      <c r="L8" s="29"/>
      <c r="M8" s="29"/>
      <c r="N8" s="29"/>
      <c r="O8" s="29"/>
      <c r="P8" s="29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</row>
    <row r="9" spans="1:8" s="2" customFormat="1" ht="33.75" customHeight="1">
      <c r="A9" s="25">
        <f aca="true" t="shared" si="0" ref="A9:A15">A8+1</f>
        <v>2</v>
      </c>
      <c r="B9" s="26" t="s">
        <v>3</v>
      </c>
      <c r="C9" s="18">
        <f>'доля расх. на сод. аппарата'!C9</f>
        <v>4847.87</v>
      </c>
      <c r="D9" s="12">
        <f>программы!D9</f>
        <v>26794.67</v>
      </c>
      <c r="E9" s="136">
        <f aca="true" t="shared" si="1" ref="E9:E20">C9/D9*100</f>
        <v>18.092665444284258</v>
      </c>
      <c r="F9" s="152">
        <f aca="true" t="shared" si="2" ref="F9:F19">(18.093-E9)/(18.093-2.672)</f>
        <v>2.1694813289823517E-05</v>
      </c>
      <c r="G9" s="147">
        <f aca="true" t="shared" si="3" ref="G9:G19">F9*0.05</f>
        <v>1.0847406644911759E-06</v>
      </c>
      <c r="H9" s="2" t="s">
        <v>69</v>
      </c>
    </row>
    <row r="10" spans="1:10" s="2" customFormat="1" ht="29.25" customHeight="1">
      <c r="A10" s="25">
        <f t="shared" si="0"/>
        <v>3</v>
      </c>
      <c r="B10" s="26" t="s">
        <v>4</v>
      </c>
      <c r="C10" s="18">
        <f>'доля расх. на сод. аппарата'!C10</f>
        <v>5085.64</v>
      </c>
      <c r="D10" s="12">
        <f>программы!D10</f>
        <v>54026.189999999995</v>
      </c>
      <c r="E10" s="136">
        <f t="shared" si="1"/>
        <v>9.413286407944002</v>
      </c>
      <c r="F10" s="152">
        <f t="shared" si="2"/>
        <v>0.5628502426597496</v>
      </c>
      <c r="G10" s="147">
        <f t="shared" si="3"/>
        <v>0.02814251213298748</v>
      </c>
      <c r="H10" s="8"/>
      <c r="I10" s="8"/>
      <c r="J10" s="8"/>
    </row>
    <row r="11" spans="1:7" s="2" customFormat="1" ht="28.5" customHeight="1">
      <c r="A11" s="25">
        <f t="shared" si="0"/>
        <v>4</v>
      </c>
      <c r="B11" s="26" t="s">
        <v>5</v>
      </c>
      <c r="C11" s="18">
        <f>'доля расх. на сод. аппарата'!C11</f>
        <v>4936.77</v>
      </c>
      <c r="D11" s="12">
        <f>программы!D11</f>
        <v>46714.409999999996</v>
      </c>
      <c r="E11" s="136">
        <f t="shared" si="1"/>
        <v>10.567981057665078</v>
      </c>
      <c r="F11" s="152">
        <f t="shared" si="2"/>
        <v>0.4879721770530395</v>
      </c>
      <c r="G11" s="147">
        <f t="shared" si="3"/>
        <v>0.02439860885265198</v>
      </c>
    </row>
    <row r="12" spans="1:7" s="2" customFormat="1" ht="28.5" customHeight="1">
      <c r="A12" s="25">
        <f t="shared" si="0"/>
        <v>5</v>
      </c>
      <c r="B12" s="26" t="s">
        <v>6</v>
      </c>
      <c r="C12" s="18">
        <f>'доля расх. на сод. аппарата'!C12</f>
        <v>5437.45</v>
      </c>
      <c r="D12" s="12">
        <f>программы!D12</f>
        <v>43422.57</v>
      </c>
      <c r="E12" s="136">
        <f t="shared" si="1"/>
        <v>12.52217452813134</v>
      </c>
      <c r="F12" s="152">
        <f t="shared" si="2"/>
        <v>0.36124930107442194</v>
      </c>
      <c r="G12" s="147">
        <f t="shared" si="3"/>
        <v>0.018062465053721097</v>
      </c>
    </row>
    <row r="13" spans="1:7" s="2" customFormat="1" ht="27.75" customHeight="1">
      <c r="A13" s="25">
        <f t="shared" si="0"/>
        <v>6</v>
      </c>
      <c r="B13" s="26" t="s">
        <v>7</v>
      </c>
      <c r="C13" s="18">
        <f>'доля расх. на сод. аппарата'!C13</f>
        <v>4281.16</v>
      </c>
      <c r="D13" s="12">
        <f>программы!D13</f>
        <v>35896.09</v>
      </c>
      <c r="E13" s="136">
        <f t="shared" si="1"/>
        <v>11.926535731328956</v>
      </c>
      <c r="F13" s="152">
        <f t="shared" si="2"/>
        <v>0.3998744743318231</v>
      </c>
      <c r="G13" s="147">
        <f t="shared" si="3"/>
        <v>0.019993723716591156</v>
      </c>
    </row>
    <row r="14" spans="1:7" s="2" customFormat="1" ht="15.75">
      <c r="A14" s="25">
        <f t="shared" si="0"/>
        <v>7</v>
      </c>
      <c r="B14" s="26" t="s">
        <v>8</v>
      </c>
      <c r="C14" s="18">
        <f>'доля расх. на сод. аппарата'!C14</f>
        <v>6407.18</v>
      </c>
      <c r="D14" s="12">
        <f>программы!D14</f>
        <v>45708.11</v>
      </c>
      <c r="E14" s="136">
        <f t="shared" si="1"/>
        <v>14.017599940141915</v>
      </c>
      <c r="F14" s="152">
        <f t="shared" si="2"/>
        <v>0.26427599117165457</v>
      </c>
      <c r="G14" s="147">
        <f t="shared" si="3"/>
        <v>0.013213799558582729</v>
      </c>
    </row>
    <row r="15" spans="1:7" s="2" customFormat="1" ht="22.5" customHeight="1">
      <c r="A15" s="25">
        <f t="shared" si="0"/>
        <v>8</v>
      </c>
      <c r="B15" s="26" t="s">
        <v>9</v>
      </c>
      <c r="C15" s="18">
        <f>'доля расх. на сод. аппарата'!C15</f>
        <v>4643.17</v>
      </c>
      <c r="D15" s="12">
        <f>программы!D15</f>
        <v>56436.25</v>
      </c>
      <c r="E15" s="136">
        <f t="shared" si="1"/>
        <v>8.227282996301136</v>
      </c>
      <c r="F15" s="152">
        <f t="shared" si="2"/>
        <v>0.6397585762076949</v>
      </c>
      <c r="G15" s="147">
        <f t="shared" si="3"/>
        <v>0.03198792881038475</v>
      </c>
    </row>
    <row r="16" spans="1:7" s="2" customFormat="1" ht="24.75" customHeight="1">
      <c r="A16" s="25">
        <v>9</v>
      </c>
      <c r="B16" s="26" t="s">
        <v>10</v>
      </c>
      <c r="C16" s="18">
        <f>'доля расх. на сод. аппарата'!C16</f>
        <v>5142.4</v>
      </c>
      <c r="D16" s="12">
        <f>программы!D16</f>
        <v>49772.659999999996</v>
      </c>
      <c r="E16" s="136">
        <f t="shared" si="1"/>
        <v>10.331776521487901</v>
      </c>
      <c r="F16" s="152">
        <f t="shared" si="2"/>
        <v>0.5032892470340509</v>
      </c>
      <c r="G16" s="147">
        <f t="shared" si="3"/>
        <v>0.025164462351702544</v>
      </c>
    </row>
    <row r="17" spans="1:7" s="2" customFormat="1" ht="30.75" customHeight="1">
      <c r="A17" s="25">
        <v>10</v>
      </c>
      <c r="B17" s="26" t="s">
        <v>11</v>
      </c>
      <c r="C17" s="18">
        <f>'доля расх. на сод. аппарата'!C17</f>
        <v>7352.36</v>
      </c>
      <c r="D17" s="12">
        <f>программы!D17</f>
        <v>57716.75</v>
      </c>
      <c r="E17" s="136">
        <f t="shared" si="1"/>
        <v>12.738693706766233</v>
      </c>
      <c r="F17" s="152">
        <f t="shared" si="2"/>
        <v>0.3472087603419861</v>
      </c>
      <c r="G17" s="147">
        <f t="shared" si="3"/>
        <v>0.017360438017099307</v>
      </c>
    </row>
    <row r="18" spans="1:8" s="2" customFormat="1" ht="28.5" customHeight="1">
      <c r="A18" s="25">
        <v>11</v>
      </c>
      <c r="B18" s="26" t="s">
        <v>12</v>
      </c>
      <c r="C18" s="18">
        <f>'доля расх. на сод. аппарата'!C18</f>
        <v>7056.39</v>
      </c>
      <c r="D18" s="12">
        <f>программы!D18</f>
        <v>264134.99</v>
      </c>
      <c r="E18" s="136">
        <f t="shared" si="1"/>
        <v>2.671508988642512</v>
      </c>
      <c r="F18" s="152">
        <f t="shared" si="2"/>
        <v>1.0000318404356066</v>
      </c>
      <c r="G18" s="147">
        <f t="shared" si="3"/>
        <v>0.05000159202178033</v>
      </c>
      <c r="H18" s="29" t="s">
        <v>64</v>
      </c>
    </row>
    <row r="19" spans="1:7" s="2" customFormat="1" ht="22.5" customHeight="1" thickBot="1">
      <c r="A19" s="25">
        <v>12</v>
      </c>
      <c r="B19" s="27" t="s">
        <v>13</v>
      </c>
      <c r="C19" s="18">
        <f>'доля расх. на сод. аппарата'!C19</f>
        <v>5222.28</v>
      </c>
      <c r="D19" s="12">
        <f>программы!D19</f>
        <v>39890.79</v>
      </c>
      <c r="E19" s="137">
        <f t="shared" si="1"/>
        <v>13.091442912010514</v>
      </c>
      <c r="F19" s="152">
        <f t="shared" si="2"/>
        <v>0.3243341604298999</v>
      </c>
      <c r="G19" s="147">
        <f t="shared" si="3"/>
        <v>0.016216708021494993</v>
      </c>
    </row>
    <row r="20" spans="1:7" s="2" customFormat="1" ht="30.75" customHeight="1" thickBot="1">
      <c r="A20" s="31"/>
      <c r="B20" s="33" t="s">
        <v>2</v>
      </c>
      <c r="C20" s="34">
        <f>SUM(C8:C19)</f>
        <v>79069.81</v>
      </c>
      <c r="D20" s="38">
        <f>SUM(D8:D18)</f>
        <v>1109722.89</v>
      </c>
      <c r="E20" s="70">
        <f t="shared" si="1"/>
        <v>7.125185099137678</v>
      </c>
      <c r="F20" s="122">
        <f>(18.093-E20)/(18.093-2.672)</f>
        <v>0.7112259192570082</v>
      </c>
      <c r="G20" s="67">
        <f>F20*0.05</f>
        <v>0.03556129596285041</v>
      </c>
    </row>
    <row r="21" spans="1:5" ht="15.75">
      <c r="A21" s="17"/>
      <c r="B21" s="17"/>
      <c r="C21" s="17"/>
      <c r="D21" s="6"/>
      <c r="E21" s="17"/>
    </row>
    <row r="22" spans="1:5" ht="15.75">
      <c r="A22" s="214" t="s">
        <v>20</v>
      </c>
      <c r="B22" s="214"/>
      <c r="C22" s="214"/>
      <c r="D22" s="214"/>
      <c r="E22" s="214"/>
    </row>
    <row r="23" spans="1:5" ht="15.75">
      <c r="A23" s="17"/>
      <c r="B23" s="17"/>
      <c r="C23" s="17"/>
      <c r="D23" s="6"/>
      <c r="E23" s="17"/>
    </row>
    <row r="24" spans="1:5" ht="15.75">
      <c r="A24" s="17"/>
      <c r="B24" s="17"/>
      <c r="C24" s="17"/>
      <c r="D24" s="6"/>
      <c r="E24" s="17"/>
    </row>
    <row r="25" spans="1:5" ht="15.75">
      <c r="A25" s="17"/>
      <c r="B25" s="5"/>
      <c r="C25" s="17"/>
      <c r="D25" s="6"/>
      <c r="E25" s="17"/>
    </row>
    <row r="26" spans="1:5" ht="18.75">
      <c r="A26" s="4"/>
      <c r="B26" s="4"/>
      <c r="C26" s="4"/>
      <c r="D26" s="10"/>
      <c r="E26" s="4"/>
    </row>
    <row r="27" spans="1:5" ht="18.75">
      <c r="A27" s="4"/>
      <c r="B27" s="4"/>
      <c r="C27" s="4"/>
      <c r="D27" s="10"/>
      <c r="E27" s="4"/>
    </row>
    <row r="28" spans="1:5" ht="18.75">
      <c r="A28" s="4"/>
      <c r="B28" s="4"/>
      <c r="C28" s="4"/>
      <c r="D28" s="10"/>
      <c r="E28" s="4"/>
    </row>
    <row r="29" spans="1:5" ht="18.75">
      <c r="A29" s="4"/>
      <c r="B29" s="4"/>
      <c r="C29" s="4"/>
      <c r="D29" s="10"/>
      <c r="E29" s="4"/>
    </row>
  </sheetData>
  <sheetProtection/>
  <mergeCells count="9">
    <mergeCell ref="A1:G1"/>
    <mergeCell ref="F2:F6"/>
    <mergeCell ref="A22:E22"/>
    <mergeCell ref="A2:A6"/>
    <mergeCell ref="B2:B6"/>
    <mergeCell ref="C2:C6"/>
    <mergeCell ref="D2:D6"/>
    <mergeCell ref="E2:E6"/>
    <mergeCell ref="G2:G6"/>
  </mergeCells>
  <dataValidations count="1">
    <dataValidation operator="notEqual" showErrorMessage="1" errorTitle="ОШИБКА" error="Должно быть целое положительное число!" sqref="C8:C19"/>
  </dataValidations>
  <printOptions/>
  <pageMargins left="1.1811023622047245" right="0.1968503937007874" top="0.31496062992125984" bottom="0.15748031496062992" header="0" footer="0"/>
  <pageSetup horizontalDpi="600" verticalDpi="600" orientation="landscape" paperSize="9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G29"/>
  <sheetViews>
    <sheetView showZeros="0"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20" sqref="D20:E20"/>
    </sheetView>
  </sheetViews>
  <sheetFormatPr defaultColWidth="9.00390625" defaultRowHeight="12.75"/>
  <cols>
    <col min="1" max="1" width="4.125" style="1" customWidth="1"/>
    <col min="2" max="2" width="22.75390625" style="1" customWidth="1"/>
    <col min="3" max="3" width="19.125" style="1" customWidth="1"/>
    <col min="4" max="4" width="19.625" style="39" customWidth="1"/>
    <col min="5" max="5" width="29.375" style="1" customWidth="1"/>
    <col min="6" max="6" width="19.25390625" style="1" customWidth="1"/>
    <col min="7" max="7" width="19.875" style="1" customWidth="1"/>
    <col min="8" max="16384" width="9.125" style="1" customWidth="1"/>
  </cols>
  <sheetData>
    <row r="1" spans="1:7" ht="32.25" customHeight="1" thickBot="1">
      <c r="A1" s="219" t="s">
        <v>107</v>
      </c>
      <c r="B1" s="219"/>
      <c r="C1" s="219"/>
      <c r="D1" s="219"/>
      <c r="E1" s="219"/>
      <c r="F1" s="219"/>
      <c r="G1" s="219"/>
    </row>
    <row r="2" spans="1:7" ht="12.75" customHeight="1">
      <c r="A2" s="220"/>
      <c r="B2" s="223" t="s">
        <v>21</v>
      </c>
      <c r="C2" s="215" t="s">
        <v>108</v>
      </c>
      <c r="D2" s="215" t="s">
        <v>109</v>
      </c>
      <c r="E2" s="216" t="s">
        <v>57</v>
      </c>
      <c r="F2" s="216" t="s">
        <v>65</v>
      </c>
      <c r="G2" s="216" t="s">
        <v>67</v>
      </c>
    </row>
    <row r="3" spans="1:7" ht="12.75" customHeight="1">
      <c r="A3" s="221"/>
      <c r="B3" s="211" t="s">
        <v>0</v>
      </c>
      <c r="C3" s="205"/>
      <c r="D3" s="205"/>
      <c r="E3" s="217"/>
      <c r="F3" s="217"/>
      <c r="G3" s="217"/>
    </row>
    <row r="4" spans="1:7" ht="15.75" customHeight="1">
      <c r="A4" s="221"/>
      <c r="B4" s="211" t="s">
        <v>1</v>
      </c>
      <c r="C4" s="205"/>
      <c r="D4" s="205"/>
      <c r="E4" s="217"/>
      <c r="F4" s="217"/>
      <c r="G4" s="217"/>
    </row>
    <row r="5" spans="1:7" ht="16.5" customHeight="1">
      <c r="A5" s="221"/>
      <c r="B5" s="211"/>
      <c r="C5" s="205"/>
      <c r="D5" s="205"/>
      <c r="E5" s="217"/>
      <c r="F5" s="217"/>
      <c r="G5" s="217"/>
    </row>
    <row r="6" spans="1:7" ht="48" customHeight="1">
      <c r="A6" s="222"/>
      <c r="B6" s="211"/>
      <c r="C6" s="206"/>
      <c r="D6" s="206"/>
      <c r="E6" s="218"/>
      <c r="F6" s="218"/>
      <c r="G6" s="218"/>
    </row>
    <row r="7" spans="1:8" ht="48.75" customHeight="1">
      <c r="A7" s="19"/>
      <c r="B7" s="13">
        <v>1</v>
      </c>
      <c r="C7" s="20">
        <v>2</v>
      </c>
      <c r="D7" s="21">
        <v>3</v>
      </c>
      <c r="E7" s="22" t="s">
        <v>36</v>
      </c>
      <c r="F7" s="15" t="s">
        <v>72</v>
      </c>
      <c r="G7" s="22" t="s">
        <v>68</v>
      </c>
      <c r="H7" s="7"/>
    </row>
    <row r="8" spans="1:33" s="2" customFormat="1" ht="16.5" customHeight="1">
      <c r="A8" s="23">
        <v>1</v>
      </c>
      <c r="B8" s="24" t="s">
        <v>14</v>
      </c>
      <c r="C8" s="12">
        <v>21276</v>
      </c>
      <c r="D8" s="12">
        <f>'отношение мун. долга'!C8</f>
        <v>19152</v>
      </c>
      <c r="E8" s="28">
        <f>D8/C8*100</f>
        <v>90.01692047377327</v>
      </c>
      <c r="F8" s="151">
        <f>(E8-0)/(100-0)</f>
        <v>0.9001692047377327</v>
      </c>
      <c r="G8" s="48">
        <f>F8*0.05</f>
        <v>0.045008460236886635</v>
      </c>
      <c r="I8" s="29"/>
      <c r="J8" s="29"/>
      <c r="K8" s="29"/>
      <c r="L8" s="29"/>
      <c r="M8" s="29"/>
      <c r="N8" s="29"/>
      <c r="O8" s="29"/>
      <c r="P8" s="29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</row>
    <row r="9" spans="1:7" s="2" customFormat="1" ht="17.25" customHeight="1">
      <c r="A9" s="25">
        <f aca="true" t="shared" si="0" ref="A9:A15">A8+1</f>
        <v>2</v>
      </c>
      <c r="B9" s="26" t="s">
        <v>3</v>
      </c>
      <c r="C9" s="12">
        <v>2676</v>
      </c>
      <c r="D9" s="12">
        <f>'отношение мун. долга'!C9</f>
        <v>1600</v>
      </c>
      <c r="E9" s="28">
        <f>D9/C9*100</f>
        <v>59.79073243647235</v>
      </c>
      <c r="F9" s="151">
        <f>(E9-0)/(100-0)</f>
        <v>0.5979073243647235</v>
      </c>
      <c r="G9" s="48">
        <f aca="true" t="shared" si="1" ref="G9:G20">F9*0.05</f>
        <v>0.029895366218236175</v>
      </c>
    </row>
    <row r="10" spans="1:10" s="2" customFormat="1" ht="15" customHeight="1">
      <c r="A10" s="25">
        <f t="shared" si="0"/>
        <v>3</v>
      </c>
      <c r="B10" s="26" t="s">
        <v>4</v>
      </c>
      <c r="C10" s="12">
        <v>810</v>
      </c>
      <c r="D10" s="12">
        <f>'отношение мун. долга'!C10</f>
        <v>810</v>
      </c>
      <c r="E10" s="193">
        <f>D10/C10*100</f>
        <v>100</v>
      </c>
      <c r="F10" s="151">
        <f>(E10-0)/(100-0)</f>
        <v>1</v>
      </c>
      <c r="G10" s="48">
        <f t="shared" si="1"/>
        <v>0.05</v>
      </c>
      <c r="H10" s="29" t="s">
        <v>69</v>
      </c>
      <c r="I10" s="8"/>
      <c r="J10" s="8"/>
    </row>
    <row r="11" spans="1:8" s="2" customFormat="1" ht="15" customHeight="1">
      <c r="A11" s="25">
        <f t="shared" si="0"/>
        <v>4</v>
      </c>
      <c r="B11" s="26" t="s">
        <v>5</v>
      </c>
      <c r="C11" s="12">
        <v>150</v>
      </c>
      <c r="D11" s="12"/>
      <c r="E11" s="28"/>
      <c r="F11" s="151">
        <v>0</v>
      </c>
      <c r="G11" s="48"/>
      <c r="H11" s="46" t="s">
        <v>64</v>
      </c>
    </row>
    <row r="12" spans="1:7" s="2" customFormat="1" ht="16.5" customHeight="1">
      <c r="A12" s="25">
        <f t="shared" si="0"/>
        <v>5</v>
      </c>
      <c r="B12" s="26" t="s">
        <v>6</v>
      </c>
      <c r="C12" s="12"/>
      <c r="D12" s="12"/>
      <c r="E12" s="193"/>
      <c r="F12" s="151"/>
      <c r="G12" s="48">
        <f t="shared" si="1"/>
        <v>0</v>
      </c>
    </row>
    <row r="13" spans="1:7" s="2" customFormat="1" ht="15.75" customHeight="1">
      <c r="A13" s="25">
        <f t="shared" si="0"/>
        <v>6</v>
      </c>
      <c r="B13" s="26" t="s">
        <v>7</v>
      </c>
      <c r="C13" s="12">
        <v>1320</v>
      </c>
      <c r="D13" s="12">
        <f>'отношение мун. долга'!C13</f>
        <v>1280</v>
      </c>
      <c r="E13" s="28">
        <f>D13/C13*100</f>
        <v>96.96969696969697</v>
      </c>
      <c r="F13" s="151">
        <f>(E13-0)/(100-0)</f>
        <v>0.9696969696969697</v>
      </c>
      <c r="G13" s="48">
        <f t="shared" si="1"/>
        <v>0.04848484848484849</v>
      </c>
    </row>
    <row r="14" spans="1:7" s="2" customFormat="1" ht="15.75">
      <c r="A14" s="25">
        <f t="shared" si="0"/>
        <v>7</v>
      </c>
      <c r="B14" s="26" t="s">
        <v>8</v>
      </c>
      <c r="C14" s="12">
        <v>4740</v>
      </c>
      <c r="D14" s="12">
        <f>'отношение мун. долга'!C14</f>
        <v>2120</v>
      </c>
      <c r="E14" s="28">
        <f>D14/C14*100</f>
        <v>44.72573839662447</v>
      </c>
      <c r="F14" s="151">
        <f>(E14-0)/(100-0)</f>
        <v>0.4472573839662447</v>
      </c>
      <c r="G14" s="48">
        <f t="shared" si="1"/>
        <v>0.022362869198312235</v>
      </c>
    </row>
    <row r="15" spans="1:7" s="2" customFormat="1" ht="15" customHeight="1">
      <c r="A15" s="25">
        <f t="shared" si="0"/>
        <v>8</v>
      </c>
      <c r="B15" s="26" t="s">
        <v>9</v>
      </c>
      <c r="C15" s="12">
        <v>7980</v>
      </c>
      <c r="D15" s="12">
        <f>'отношение мун. долга'!C15</f>
        <v>2530</v>
      </c>
      <c r="E15" s="28">
        <f>D15/C15*100</f>
        <v>31.704260651629074</v>
      </c>
      <c r="F15" s="151">
        <f>(E15-0)/(100-0)</f>
        <v>0.31704260651629074</v>
      </c>
      <c r="G15" s="48">
        <f t="shared" si="1"/>
        <v>0.015852130325814538</v>
      </c>
    </row>
    <row r="16" spans="1:7" s="2" customFormat="1" ht="16.5" customHeight="1">
      <c r="A16" s="25">
        <v>9</v>
      </c>
      <c r="B16" s="26" t="s">
        <v>10</v>
      </c>
      <c r="C16" s="12"/>
      <c r="D16" s="12"/>
      <c r="E16" s="28"/>
      <c r="F16" s="151"/>
      <c r="G16" s="48"/>
    </row>
    <row r="17" spans="1:7" s="2" customFormat="1" ht="15" customHeight="1">
      <c r="A17" s="25">
        <v>10</v>
      </c>
      <c r="B17" s="26" t="s">
        <v>11</v>
      </c>
      <c r="C17" s="12"/>
      <c r="D17" s="12"/>
      <c r="E17" s="28"/>
      <c r="F17" s="151"/>
      <c r="G17" s="48"/>
    </row>
    <row r="18" spans="1:7" s="2" customFormat="1" ht="14.25" customHeight="1">
      <c r="A18" s="25">
        <v>11</v>
      </c>
      <c r="B18" s="26" t="s">
        <v>12</v>
      </c>
      <c r="C18" s="12"/>
      <c r="D18" s="12"/>
      <c r="E18" s="28"/>
      <c r="F18" s="151"/>
      <c r="G18" s="48"/>
    </row>
    <row r="19" spans="1:7" s="2" customFormat="1" ht="13.5" customHeight="1" thickBot="1">
      <c r="A19" s="25">
        <v>12</v>
      </c>
      <c r="B19" s="27" t="s">
        <v>13</v>
      </c>
      <c r="C19" s="37"/>
      <c r="D19" s="37"/>
      <c r="E19" s="36"/>
      <c r="F19" s="50"/>
      <c r="G19" s="49"/>
    </row>
    <row r="20" spans="1:7" s="2" customFormat="1" ht="30.75" customHeight="1" thickBot="1">
      <c r="A20" s="31"/>
      <c r="B20" s="33" t="s">
        <v>2</v>
      </c>
      <c r="C20" s="66">
        <f>SUM(C8:C18)</f>
        <v>38952</v>
      </c>
      <c r="D20" s="236">
        <f>'отношение мун. долга'!C20</f>
        <v>27492</v>
      </c>
      <c r="E20" s="237">
        <f>D20/C20*100</f>
        <v>70.57917436845348</v>
      </c>
      <c r="F20" s="203">
        <f>(E20-0)/(100-0)</f>
        <v>0.7057917436845348</v>
      </c>
      <c r="G20" s="65">
        <f t="shared" si="1"/>
        <v>0.03528958718422674</v>
      </c>
    </row>
    <row r="21" spans="1:7" ht="15.75">
      <c r="A21" s="17"/>
      <c r="B21" s="17"/>
      <c r="C21" s="17"/>
      <c r="D21" s="6"/>
      <c r="E21" s="17"/>
      <c r="F21" s="7"/>
      <c r="G21" s="7"/>
    </row>
    <row r="22" spans="1:5" ht="15.75">
      <c r="A22" s="214" t="s">
        <v>20</v>
      </c>
      <c r="B22" s="214"/>
      <c r="C22" s="214"/>
      <c r="D22" s="214"/>
      <c r="E22" s="214"/>
    </row>
    <row r="23" spans="1:5" ht="15.75">
      <c r="A23" s="17"/>
      <c r="B23" s="17"/>
      <c r="C23" s="17"/>
      <c r="D23" s="6"/>
      <c r="E23" s="17"/>
    </row>
    <row r="24" spans="1:5" ht="15.75">
      <c r="A24" s="17"/>
      <c r="B24" s="17"/>
      <c r="C24" s="17"/>
      <c r="D24" s="6"/>
      <c r="E24" s="17"/>
    </row>
    <row r="25" spans="1:5" ht="15.75">
      <c r="A25" s="17"/>
      <c r="B25" s="5"/>
      <c r="C25" s="17"/>
      <c r="D25" s="6"/>
      <c r="E25" s="17"/>
    </row>
    <row r="26" spans="1:5" ht="18.75">
      <c r="A26" s="4"/>
      <c r="B26" s="4"/>
      <c r="C26" s="4"/>
      <c r="D26" s="10"/>
      <c r="E26" s="4"/>
    </row>
    <row r="27" spans="1:5" ht="18.75">
      <c r="A27" s="4"/>
      <c r="B27" s="4"/>
      <c r="C27" s="4"/>
      <c r="D27" s="10"/>
      <c r="E27" s="4"/>
    </row>
    <row r="28" spans="1:5" ht="18.75">
      <c r="A28" s="4"/>
      <c r="B28" s="4"/>
      <c r="C28" s="4"/>
      <c r="D28" s="10"/>
      <c r="E28" s="4"/>
    </row>
    <row r="29" spans="1:5" ht="18.75">
      <c r="A29" s="4"/>
      <c r="B29" s="4"/>
      <c r="C29" s="4"/>
      <c r="D29" s="10"/>
      <c r="E29" s="4"/>
    </row>
  </sheetData>
  <sheetProtection/>
  <mergeCells count="9">
    <mergeCell ref="A1:G1"/>
    <mergeCell ref="F2:F6"/>
    <mergeCell ref="A22:E22"/>
    <mergeCell ref="A2:A6"/>
    <mergeCell ref="B2:B6"/>
    <mergeCell ref="C2:C6"/>
    <mergeCell ref="D2:D6"/>
    <mergeCell ref="E2:E6"/>
    <mergeCell ref="G2:G6"/>
  </mergeCells>
  <printOptions/>
  <pageMargins left="1.1811023622047245" right="0.1968503937007874" top="0.31496062992125984" bottom="0.15748031496062992" header="0" footer="0"/>
  <pageSetup horizontalDpi="600" verticalDpi="600" orientation="landscape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G29"/>
  <sheetViews>
    <sheetView showZeros="0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12" sqref="I12"/>
    </sheetView>
  </sheetViews>
  <sheetFormatPr defaultColWidth="9.00390625" defaultRowHeight="12.75"/>
  <cols>
    <col min="1" max="1" width="4.125" style="85" customWidth="1"/>
    <col min="2" max="2" width="22.75390625" style="85" customWidth="1"/>
    <col min="3" max="3" width="25.625" style="85" customWidth="1"/>
    <col min="4" max="4" width="19.625" style="101" customWidth="1"/>
    <col min="5" max="5" width="29.00390625" style="85" customWidth="1"/>
    <col min="6" max="6" width="21.875" style="85" customWidth="1"/>
    <col min="7" max="7" width="19.625" style="85" customWidth="1"/>
    <col min="8" max="8" width="9.125" style="84" customWidth="1"/>
    <col min="9" max="9" width="9.125" style="85" customWidth="1"/>
    <col min="10" max="10" width="13.375" style="85" customWidth="1"/>
    <col min="11" max="16384" width="9.125" style="85" customWidth="1"/>
  </cols>
  <sheetData>
    <row r="1" spans="1:7" ht="39.75" customHeight="1">
      <c r="A1" s="212" t="s">
        <v>119</v>
      </c>
      <c r="B1" s="212"/>
      <c r="C1" s="212"/>
      <c r="D1" s="212"/>
      <c r="E1" s="212"/>
      <c r="F1" s="212"/>
      <c r="G1" s="212"/>
    </row>
    <row r="2" spans="1:7" ht="12.75" customHeight="1">
      <c r="A2" s="226"/>
      <c r="B2" s="211" t="s">
        <v>21</v>
      </c>
      <c r="C2" s="211" t="s">
        <v>59</v>
      </c>
      <c r="D2" s="211" t="s">
        <v>58</v>
      </c>
      <c r="E2" s="211" t="s">
        <v>118</v>
      </c>
      <c r="F2" s="211" t="s">
        <v>65</v>
      </c>
      <c r="G2" s="211" t="s">
        <v>67</v>
      </c>
    </row>
    <row r="3" spans="1:7" ht="12.75" customHeight="1">
      <c r="A3" s="226"/>
      <c r="B3" s="211" t="s">
        <v>0</v>
      </c>
      <c r="C3" s="211"/>
      <c r="D3" s="211"/>
      <c r="E3" s="211"/>
      <c r="F3" s="211"/>
      <c r="G3" s="211"/>
    </row>
    <row r="4" spans="1:7" ht="15.75" customHeight="1">
      <c r="A4" s="226"/>
      <c r="B4" s="211" t="s">
        <v>1</v>
      </c>
      <c r="C4" s="211"/>
      <c r="D4" s="211"/>
      <c r="E4" s="211"/>
      <c r="F4" s="211"/>
      <c r="G4" s="211"/>
    </row>
    <row r="5" spans="1:7" ht="16.5" customHeight="1">
      <c r="A5" s="226"/>
      <c r="B5" s="211"/>
      <c r="C5" s="211"/>
      <c r="D5" s="211"/>
      <c r="E5" s="211"/>
      <c r="F5" s="211"/>
      <c r="G5" s="211"/>
    </row>
    <row r="6" spans="1:7" ht="56.25" customHeight="1">
      <c r="A6" s="226"/>
      <c r="B6" s="211"/>
      <c r="C6" s="211"/>
      <c r="D6" s="211"/>
      <c r="E6" s="211"/>
      <c r="F6" s="211"/>
      <c r="G6" s="211"/>
    </row>
    <row r="7" spans="1:7" ht="39" customHeight="1">
      <c r="A7" s="91"/>
      <c r="B7" s="53">
        <v>1</v>
      </c>
      <c r="C7" s="105">
        <v>2</v>
      </c>
      <c r="D7" s="105">
        <v>3</v>
      </c>
      <c r="E7" s="105" t="s">
        <v>117</v>
      </c>
      <c r="F7" s="15" t="s">
        <v>72</v>
      </c>
      <c r="G7" s="113" t="s">
        <v>68</v>
      </c>
    </row>
    <row r="8" spans="1:33" s="74" customFormat="1" ht="20.25" customHeight="1">
      <c r="A8" s="86">
        <v>1</v>
      </c>
      <c r="B8" s="14" t="s">
        <v>14</v>
      </c>
      <c r="C8" s="178">
        <v>241518.3</v>
      </c>
      <c r="D8" s="178">
        <v>235175.5483</v>
      </c>
      <c r="E8" s="169">
        <f>D8/C8*100</f>
        <v>97.373800784454</v>
      </c>
      <c r="F8" s="189">
        <f aca="true" t="shared" si="0" ref="F8:F20">(E8-97.374)/(158.964-97.374)</f>
        <v>-3.2345436919991528E-06</v>
      </c>
      <c r="G8" s="189">
        <f>F8*0.05</f>
        <v>-1.6172718459995765E-07</v>
      </c>
      <c r="H8" s="74" t="s">
        <v>64</v>
      </c>
      <c r="I8" s="80"/>
      <c r="J8" s="92"/>
      <c r="K8" s="80"/>
      <c r="L8" s="80"/>
      <c r="M8" s="80"/>
      <c r="N8" s="80"/>
      <c r="O8" s="80"/>
      <c r="P8" s="80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</row>
    <row r="9" spans="1:10" s="74" customFormat="1" ht="20.25" customHeight="1">
      <c r="A9" s="86">
        <f aca="true" t="shared" si="1" ref="A9:A15">A8+1</f>
        <v>2</v>
      </c>
      <c r="B9" s="75" t="s">
        <v>3</v>
      </c>
      <c r="C9" s="178">
        <v>12735.2</v>
      </c>
      <c r="D9" s="178">
        <v>15954.65113</v>
      </c>
      <c r="E9" s="169">
        <f aca="true" t="shared" si="2" ref="E9:E19">D9/C9*100</f>
        <v>125.27994165776744</v>
      </c>
      <c r="F9" s="189">
        <f t="shared" si="0"/>
        <v>0.4530920873155941</v>
      </c>
      <c r="G9" s="189">
        <f aca="true" t="shared" si="3" ref="G9:G20">F9*0.05</f>
        <v>0.022654604365779707</v>
      </c>
      <c r="J9" s="93"/>
    </row>
    <row r="10" spans="1:10" s="74" customFormat="1" ht="20.25" customHeight="1">
      <c r="A10" s="86">
        <f t="shared" si="1"/>
        <v>3</v>
      </c>
      <c r="B10" s="75" t="s">
        <v>4</v>
      </c>
      <c r="C10" s="178">
        <v>32440.3</v>
      </c>
      <c r="D10" s="178">
        <v>33467.95468</v>
      </c>
      <c r="E10" s="169">
        <f t="shared" si="2"/>
        <v>103.16783346639828</v>
      </c>
      <c r="F10" s="189">
        <f t="shared" si="0"/>
        <v>0.09407100935863423</v>
      </c>
      <c r="G10" s="189">
        <f t="shared" si="3"/>
        <v>0.0047035504679317115</v>
      </c>
      <c r="I10" s="82"/>
      <c r="J10" s="94"/>
    </row>
    <row r="11" spans="1:10" s="74" customFormat="1" ht="20.25" customHeight="1">
      <c r="A11" s="86">
        <f t="shared" si="1"/>
        <v>4</v>
      </c>
      <c r="B11" s="75" t="s">
        <v>5</v>
      </c>
      <c r="C11" s="178">
        <v>20955.2</v>
      </c>
      <c r="D11" s="178">
        <v>22608.16482</v>
      </c>
      <c r="E11" s="169">
        <f t="shared" si="2"/>
        <v>107.88808897075666</v>
      </c>
      <c r="F11" s="189">
        <f t="shared" si="0"/>
        <v>0.17071097533295437</v>
      </c>
      <c r="G11" s="189">
        <f t="shared" si="3"/>
        <v>0.00853554876664772</v>
      </c>
      <c r="H11" s="82"/>
      <c r="J11" s="93"/>
    </row>
    <row r="12" spans="1:10" s="74" customFormat="1" ht="20.25" customHeight="1">
      <c r="A12" s="86">
        <f t="shared" si="1"/>
        <v>5</v>
      </c>
      <c r="B12" s="75" t="s">
        <v>6</v>
      </c>
      <c r="C12" s="178">
        <v>32453.8</v>
      </c>
      <c r="D12" s="178">
        <v>40146.96305</v>
      </c>
      <c r="E12" s="169">
        <f t="shared" si="2"/>
        <v>123.70496844745453</v>
      </c>
      <c r="F12" s="189">
        <f t="shared" si="0"/>
        <v>0.4275201891127543</v>
      </c>
      <c r="G12" s="189">
        <f t="shared" si="3"/>
        <v>0.021376009455637716</v>
      </c>
      <c r="J12" s="93"/>
    </row>
    <row r="13" spans="1:10" s="74" customFormat="1" ht="20.25" customHeight="1">
      <c r="A13" s="86">
        <f t="shared" si="1"/>
        <v>6</v>
      </c>
      <c r="B13" s="75" t="s">
        <v>7</v>
      </c>
      <c r="C13" s="178">
        <v>19892.135</v>
      </c>
      <c r="D13" s="178">
        <v>19475.7637</v>
      </c>
      <c r="E13" s="169">
        <f t="shared" si="2"/>
        <v>97.90685464380772</v>
      </c>
      <c r="F13" s="189">
        <f t="shared" si="0"/>
        <v>0.008651642211523362</v>
      </c>
      <c r="G13" s="189">
        <f t="shared" si="3"/>
        <v>0.00043258211057616816</v>
      </c>
      <c r="J13" s="93"/>
    </row>
    <row r="14" spans="1:10" s="74" customFormat="1" ht="20.25" customHeight="1">
      <c r="A14" s="86">
        <f t="shared" si="1"/>
        <v>7</v>
      </c>
      <c r="B14" s="75" t="s">
        <v>8</v>
      </c>
      <c r="C14" s="178">
        <v>15883.8</v>
      </c>
      <c r="D14" s="178">
        <v>19139.60273</v>
      </c>
      <c r="E14" s="169">
        <f t="shared" si="2"/>
        <v>120.49763110842493</v>
      </c>
      <c r="F14" s="189">
        <f t="shared" si="0"/>
        <v>0.3754445706839573</v>
      </c>
      <c r="G14" s="189">
        <f t="shared" si="3"/>
        <v>0.01877222853419787</v>
      </c>
      <c r="J14" s="93"/>
    </row>
    <row r="15" spans="1:10" s="74" customFormat="1" ht="20.25" customHeight="1">
      <c r="A15" s="86">
        <f t="shared" si="1"/>
        <v>8</v>
      </c>
      <c r="B15" s="75" t="s">
        <v>9</v>
      </c>
      <c r="C15" s="178">
        <v>13882.7</v>
      </c>
      <c r="D15" s="178">
        <v>19415.4588</v>
      </c>
      <c r="E15" s="169">
        <f t="shared" si="2"/>
        <v>139.8536221340229</v>
      </c>
      <c r="F15" s="189">
        <f t="shared" si="0"/>
        <v>0.6897162223416612</v>
      </c>
      <c r="G15" s="189">
        <f t="shared" si="3"/>
        <v>0.034485811117083064</v>
      </c>
      <c r="J15" s="93"/>
    </row>
    <row r="16" spans="1:10" s="74" customFormat="1" ht="20.25" customHeight="1">
      <c r="A16" s="86">
        <v>9</v>
      </c>
      <c r="B16" s="75" t="s">
        <v>10</v>
      </c>
      <c r="C16" s="178">
        <v>27509.8</v>
      </c>
      <c r="D16" s="178">
        <v>43730.56351</v>
      </c>
      <c r="E16" s="169">
        <f t="shared" si="2"/>
        <v>158.96358210528612</v>
      </c>
      <c r="F16" s="189">
        <f t="shared" si="0"/>
        <v>0.9999932148934263</v>
      </c>
      <c r="G16" s="189">
        <f t="shared" si="3"/>
        <v>0.04999966074467132</v>
      </c>
      <c r="H16" s="74" t="s">
        <v>69</v>
      </c>
      <c r="J16" s="93"/>
    </row>
    <row r="17" spans="1:10" s="74" customFormat="1" ht="20.25" customHeight="1">
      <c r="A17" s="86">
        <v>10</v>
      </c>
      <c r="B17" s="75" t="s">
        <v>11</v>
      </c>
      <c r="C17" s="178">
        <v>48916.6</v>
      </c>
      <c r="D17" s="178">
        <v>47786.02112</v>
      </c>
      <c r="E17" s="169">
        <f t="shared" si="2"/>
        <v>97.6887623424359</v>
      </c>
      <c r="F17" s="189">
        <f t="shared" si="0"/>
        <v>0.005110607930441602</v>
      </c>
      <c r="G17" s="189">
        <f t="shared" si="3"/>
        <v>0.0002555303965220801</v>
      </c>
      <c r="J17" s="93"/>
    </row>
    <row r="18" spans="1:10" s="74" customFormat="1" ht="20.25" customHeight="1">
      <c r="A18" s="86">
        <v>11</v>
      </c>
      <c r="B18" s="75" t="s">
        <v>12</v>
      </c>
      <c r="C18" s="178">
        <v>216719.3</v>
      </c>
      <c r="D18" s="178">
        <v>276960.37613</v>
      </c>
      <c r="E18" s="169">
        <f t="shared" si="2"/>
        <v>127.79682110914902</v>
      </c>
      <c r="F18" s="189">
        <f t="shared" si="0"/>
        <v>0.4939571539072743</v>
      </c>
      <c r="G18" s="189">
        <f t="shared" si="3"/>
        <v>0.024697857695363715</v>
      </c>
      <c r="J18" s="93"/>
    </row>
    <row r="19" spans="1:10" s="74" customFormat="1" ht="20.25" customHeight="1" thickBot="1">
      <c r="A19" s="87">
        <v>12</v>
      </c>
      <c r="B19" s="77" t="s">
        <v>13</v>
      </c>
      <c r="C19" s="179">
        <v>20038.705</v>
      </c>
      <c r="D19" s="179">
        <v>23849.16946</v>
      </c>
      <c r="E19" s="174">
        <f t="shared" si="2"/>
        <v>119.0155225100624</v>
      </c>
      <c r="F19" s="191">
        <f t="shared" si="0"/>
        <v>0.35138045965355413</v>
      </c>
      <c r="G19" s="191">
        <f t="shared" si="3"/>
        <v>0.017569022982677707</v>
      </c>
      <c r="J19" s="93"/>
    </row>
    <row r="20" spans="1:10" s="74" customFormat="1" ht="20.25" customHeight="1" thickBot="1">
      <c r="A20" s="88"/>
      <c r="B20" s="79" t="s">
        <v>2</v>
      </c>
      <c r="C20" s="114">
        <f>SUM(C8:C19)</f>
        <v>702945.84</v>
      </c>
      <c r="D20" s="114">
        <f>SUM(D8:D19)</f>
        <v>797710.23743</v>
      </c>
      <c r="E20" s="102">
        <f>D20/C20*100</f>
        <v>113.48103823048446</v>
      </c>
      <c r="F20" s="194">
        <f t="shared" si="0"/>
        <v>0.26152034795396106</v>
      </c>
      <c r="G20" s="103">
        <f t="shared" si="3"/>
        <v>0.013076017397698054</v>
      </c>
      <c r="J20" s="93"/>
    </row>
    <row r="21" spans="1:7" ht="15.75">
      <c r="A21" s="95"/>
      <c r="B21" s="95"/>
      <c r="C21" s="95"/>
      <c r="D21" s="96"/>
      <c r="E21" s="95"/>
      <c r="F21" s="84"/>
      <c r="G21" s="84"/>
    </row>
    <row r="22" spans="1:10" ht="15.75">
      <c r="A22" s="225" t="s">
        <v>20</v>
      </c>
      <c r="B22" s="225"/>
      <c r="C22" s="225"/>
      <c r="D22" s="225"/>
      <c r="E22" s="225"/>
      <c r="J22" s="98"/>
    </row>
    <row r="23" spans="1:5" ht="15.75">
      <c r="A23" s="95"/>
      <c r="B23" s="95"/>
      <c r="C23" s="95"/>
      <c r="D23" s="96"/>
      <c r="E23" s="95"/>
    </row>
    <row r="24" spans="1:5" ht="15.75">
      <c r="A24" s="95"/>
      <c r="B24" s="95"/>
      <c r="C24" s="95"/>
      <c r="D24" s="96"/>
      <c r="E24" s="95"/>
    </row>
    <row r="25" spans="1:5" ht="15.75">
      <c r="A25" s="95"/>
      <c r="B25" s="97"/>
      <c r="C25" s="95"/>
      <c r="D25" s="96"/>
      <c r="E25" s="95"/>
    </row>
    <row r="26" spans="1:5" ht="18.75">
      <c r="A26" s="99"/>
      <c r="B26" s="99"/>
      <c r="C26" s="99"/>
      <c r="D26" s="100"/>
      <c r="E26" s="99"/>
    </row>
    <row r="27" spans="1:5" ht="18.75">
      <c r="A27" s="99"/>
      <c r="B27" s="99"/>
      <c r="C27" s="99"/>
      <c r="D27" s="100"/>
      <c r="E27" s="99"/>
    </row>
    <row r="28" spans="1:5" ht="18.75">
      <c r="A28" s="99"/>
      <c r="B28" s="99"/>
      <c r="C28" s="99"/>
      <c r="D28" s="100"/>
      <c r="E28" s="99"/>
    </row>
    <row r="29" spans="1:5" ht="18.75">
      <c r="A29" s="99"/>
      <c r="B29" s="99"/>
      <c r="C29" s="99"/>
      <c r="D29" s="100"/>
      <c r="E29" s="99"/>
    </row>
  </sheetData>
  <sheetProtection/>
  <mergeCells count="9">
    <mergeCell ref="A1:G1"/>
    <mergeCell ref="F2:F6"/>
    <mergeCell ref="A22:E22"/>
    <mergeCell ref="A2:A6"/>
    <mergeCell ref="B2:B6"/>
    <mergeCell ref="C2:C6"/>
    <mergeCell ref="D2:D6"/>
    <mergeCell ref="E2:E6"/>
    <mergeCell ref="G2:G6"/>
  </mergeCells>
  <dataValidations count="1">
    <dataValidation operator="notEqual" showErrorMessage="1" errorTitle="ОШИБКА" error="Должно быть целое положительное число!" sqref="C8:C19"/>
  </dataValidations>
  <printOptions/>
  <pageMargins left="1.1811023622047245" right="0.1968503937007874" top="0.31496062992125984" bottom="0.15748031496062992" header="0" footer="0"/>
  <pageSetup horizontalDpi="600" verticalDpi="600" orientation="landscape" paperSize="9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E29"/>
  <sheetViews>
    <sheetView showZeros="0" view="pageBreakPreview" zoomScaleSheetLayoutView="100" zoomScalePageLayoutView="0" workbookViewId="0" topLeftCell="A1">
      <pane xSplit="2" ySplit="7" topLeftCell="C1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17" sqref="D17"/>
    </sheetView>
  </sheetViews>
  <sheetFormatPr defaultColWidth="9.00390625" defaultRowHeight="12.75"/>
  <cols>
    <col min="1" max="1" width="4.125" style="1" customWidth="1"/>
    <col min="2" max="2" width="22.75390625" style="1" customWidth="1"/>
    <col min="3" max="3" width="38.00390625" style="1" customWidth="1"/>
    <col min="4" max="4" width="20.25390625" style="1" customWidth="1"/>
    <col min="5" max="5" width="19.375" style="1" customWidth="1"/>
    <col min="6" max="16384" width="9.125" style="1" customWidth="1"/>
  </cols>
  <sheetData>
    <row r="1" spans="1:5" ht="39.75" customHeight="1" thickBot="1">
      <c r="A1" s="212" t="s">
        <v>60</v>
      </c>
      <c r="B1" s="212"/>
      <c r="C1" s="212"/>
      <c r="D1" s="212"/>
      <c r="E1" s="212"/>
    </row>
    <row r="2" spans="1:5" ht="12.75" customHeight="1">
      <c r="A2" s="220"/>
      <c r="B2" s="223" t="s">
        <v>21</v>
      </c>
      <c r="C2" s="216" t="s">
        <v>60</v>
      </c>
      <c r="D2" s="216" t="s">
        <v>65</v>
      </c>
      <c r="E2" s="216" t="s">
        <v>67</v>
      </c>
    </row>
    <row r="3" spans="1:5" ht="12.75" customHeight="1">
      <c r="A3" s="221"/>
      <c r="B3" s="211" t="s">
        <v>0</v>
      </c>
      <c r="C3" s="217"/>
      <c r="D3" s="217"/>
      <c r="E3" s="217"/>
    </row>
    <row r="4" spans="1:5" ht="15.75" customHeight="1">
      <c r="A4" s="221"/>
      <c r="B4" s="211" t="s">
        <v>1</v>
      </c>
      <c r="C4" s="217"/>
      <c r="D4" s="217"/>
      <c r="E4" s="217"/>
    </row>
    <row r="5" spans="1:5" ht="16.5" customHeight="1">
      <c r="A5" s="221"/>
      <c r="B5" s="211"/>
      <c r="C5" s="217"/>
      <c r="D5" s="217"/>
      <c r="E5" s="217"/>
    </row>
    <row r="6" spans="1:5" ht="108.75" customHeight="1">
      <c r="A6" s="222"/>
      <c r="B6" s="211"/>
      <c r="C6" s="218"/>
      <c r="D6" s="218"/>
      <c r="E6" s="218"/>
    </row>
    <row r="7" spans="1:6" ht="40.5" customHeight="1">
      <c r="A7" s="19"/>
      <c r="B7" s="13">
        <v>1</v>
      </c>
      <c r="C7" s="22" t="s">
        <v>61</v>
      </c>
      <c r="D7" s="15" t="s">
        <v>66</v>
      </c>
      <c r="E7" s="22" t="s">
        <v>68</v>
      </c>
      <c r="F7" s="7"/>
    </row>
    <row r="8" spans="1:31" s="2" customFormat="1" ht="24.75" customHeight="1">
      <c r="A8" s="23">
        <v>1</v>
      </c>
      <c r="B8" s="42" t="s">
        <v>14</v>
      </c>
      <c r="C8" s="156">
        <v>1.4</v>
      </c>
      <c r="D8" s="147">
        <f>(3.57-C8)/(3.57-0.49)</f>
        <v>0.7045454545454545</v>
      </c>
      <c r="E8" s="147">
        <f aca="true" t="shared" si="0" ref="E8:E20">D8*0.05</f>
        <v>0.035227272727272725</v>
      </c>
      <c r="G8" s="29"/>
      <c r="H8" s="29"/>
      <c r="I8" s="29"/>
      <c r="J8" s="29"/>
      <c r="K8" s="29"/>
      <c r="L8" s="29"/>
      <c r="M8" s="29"/>
      <c r="N8" s="29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5" s="2" customFormat="1" ht="33.75" customHeight="1">
      <c r="A9" s="25">
        <f aca="true" t="shared" si="1" ref="A9:A15">A8+1</f>
        <v>2</v>
      </c>
      <c r="B9" s="43" t="s">
        <v>3</v>
      </c>
      <c r="C9" s="156">
        <v>1.74</v>
      </c>
      <c r="D9" s="147">
        <f aca="true" t="shared" si="2" ref="D9:D20">(3.57-C9)/(3.57-0.49)</f>
        <v>0.5941558441558441</v>
      </c>
      <c r="E9" s="147">
        <f t="shared" si="0"/>
        <v>0.029707792207792207</v>
      </c>
    </row>
    <row r="10" spans="1:8" s="2" customFormat="1" ht="29.25" customHeight="1">
      <c r="A10" s="25">
        <f t="shared" si="1"/>
        <v>3</v>
      </c>
      <c r="B10" s="43" t="s">
        <v>4</v>
      </c>
      <c r="C10" s="156">
        <v>0.93</v>
      </c>
      <c r="D10" s="147">
        <f t="shared" si="2"/>
        <v>0.857142857142857</v>
      </c>
      <c r="E10" s="147">
        <f t="shared" si="0"/>
        <v>0.04285714285714285</v>
      </c>
      <c r="G10" s="8"/>
      <c r="H10" s="8"/>
    </row>
    <row r="11" spans="1:5" s="2" customFormat="1" ht="28.5" customHeight="1">
      <c r="A11" s="25">
        <f t="shared" si="1"/>
        <v>4</v>
      </c>
      <c r="B11" s="43" t="s">
        <v>5</v>
      </c>
      <c r="C11" s="156">
        <v>1</v>
      </c>
      <c r="D11" s="147">
        <f t="shared" si="2"/>
        <v>0.8344155844155844</v>
      </c>
      <c r="E11" s="147">
        <f t="shared" si="0"/>
        <v>0.04172077922077922</v>
      </c>
    </row>
    <row r="12" spans="1:5" s="2" customFormat="1" ht="28.5" customHeight="1">
      <c r="A12" s="25">
        <f t="shared" si="1"/>
        <v>5</v>
      </c>
      <c r="B12" s="43" t="s">
        <v>6</v>
      </c>
      <c r="C12" s="156">
        <v>1.5</v>
      </c>
      <c r="D12" s="147">
        <f t="shared" si="2"/>
        <v>0.672077922077922</v>
      </c>
      <c r="E12" s="147">
        <f t="shared" si="0"/>
        <v>0.0336038961038961</v>
      </c>
    </row>
    <row r="13" spans="1:5" s="2" customFormat="1" ht="27.75" customHeight="1">
      <c r="A13" s="25">
        <f t="shared" si="1"/>
        <v>6</v>
      </c>
      <c r="B13" s="43" t="s">
        <v>7</v>
      </c>
      <c r="C13" s="156">
        <v>1.67</v>
      </c>
      <c r="D13" s="147">
        <f t="shared" si="2"/>
        <v>0.6168831168831168</v>
      </c>
      <c r="E13" s="147">
        <f t="shared" si="0"/>
        <v>0.03084415584415584</v>
      </c>
    </row>
    <row r="14" spans="1:5" s="2" customFormat="1" ht="15.75">
      <c r="A14" s="25">
        <f t="shared" si="1"/>
        <v>7</v>
      </c>
      <c r="B14" s="43" t="s">
        <v>8</v>
      </c>
      <c r="C14" s="156">
        <v>1.505</v>
      </c>
      <c r="D14" s="147">
        <f t="shared" si="2"/>
        <v>0.6704545454545454</v>
      </c>
      <c r="E14" s="147">
        <f t="shared" si="0"/>
        <v>0.033522727272727273</v>
      </c>
    </row>
    <row r="15" spans="1:5" s="2" customFormat="1" ht="22.5" customHeight="1">
      <c r="A15" s="25">
        <f t="shared" si="1"/>
        <v>8</v>
      </c>
      <c r="B15" s="43" t="s">
        <v>9</v>
      </c>
      <c r="C15" s="156">
        <v>1.3</v>
      </c>
      <c r="D15" s="147">
        <f t="shared" si="2"/>
        <v>0.7370129870129869</v>
      </c>
      <c r="E15" s="147">
        <f t="shared" si="0"/>
        <v>0.03685064935064935</v>
      </c>
    </row>
    <row r="16" spans="1:5" s="2" customFormat="1" ht="24.75" customHeight="1">
      <c r="A16" s="25">
        <v>9</v>
      </c>
      <c r="B16" s="43" t="s">
        <v>10</v>
      </c>
      <c r="C16" s="156">
        <v>1.58</v>
      </c>
      <c r="D16" s="147">
        <f t="shared" si="2"/>
        <v>0.6461038961038961</v>
      </c>
      <c r="E16" s="147">
        <f t="shared" si="0"/>
        <v>0.0323051948051948</v>
      </c>
    </row>
    <row r="17" spans="1:5" s="2" customFormat="1" ht="30.75" customHeight="1">
      <c r="A17" s="25">
        <v>10</v>
      </c>
      <c r="B17" s="43" t="s">
        <v>11</v>
      </c>
      <c r="C17" s="156">
        <v>2.2</v>
      </c>
      <c r="D17" s="147">
        <f t="shared" si="2"/>
        <v>0.4448051948051947</v>
      </c>
      <c r="E17" s="147">
        <f t="shared" si="0"/>
        <v>0.022240259740259737</v>
      </c>
    </row>
    <row r="18" spans="1:6" s="2" customFormat="1" ht="28.5" customHeight="1">
      <c r="A18" s="25">
        <v>11</v>
      </c>
      <c r="B18" s="43" t="s">
        <v>12</v>
      </c>
      <c r="C18" s="156">
        <v>3.57</v>
      </c>
      <c r="D18" s="140">
        <v>0</v>
      </c>
      <c r="E18" s="147">
        <f t="shared" si="0"/>
        <v>0</v>
      </c>
      <c r="F18" s="2" t="s">
        <v>69</v>
      </c>
    </row>
    <row r="19" spans="1:6" s="2" customFormat="1" ht="22.5" customHeight="1" thickBot="1">
      <c r="A19" s="25">
        <v>12</v>
      </c>
      <c r="B19" s="44" t="s">
        <v>13</v>
      </c>
      <c r="C19" s="156">
        <v>0.49</v>
      </c>
      <c r="D19" s="147">
        <f t="shared" si="2"/>
        <v>1</v>
      </c>
      <c r="E19" s="147">
        <f t="shared" si="0"/>
        <v>0.05</v>
      </c>
      <c r="F19" s="2" t="s">
        <v>64</v>
      </c>
    </row>
    <row r="20" spans="1:5" s="2" customFormat="1" ht="30.75" customHeight="1" thickBot="1">
      <c r="A20" s="31"/>
      <c r="B20" s="155" t="s">
        <v>2</v>
      </c>
      <c r="C20" s="157">
        <f>SUM(C8:C19)/12</f>
        <v>1.5737499999999998</v>
      </c>
      <c r="D20" s="122">
        <f t="shared" si="2"/>
        <v>0.6481331168831169</v>
      </c>
      <c r="E20" s="122">
        <f t="shared" si="0"/>
        <v>0.03240665584415585</v>
      </c>
    </row>
    <row r="21" spans="1:3" ht="15.75">
      <c r="A21" s="17"/>
      <c r="B21" s="17"/>
      <c r="C21" s="17"/>
    </row>
    <row r="22" spans="1:5" ht="15.75">
      <c r="A22" s="214" t="s">
        <v>20</v>
      </c>
      <c r="B22" s="214"/>
      <c r="C22" s="214"/>
      <c r="D22" s="214"/>
      <c r="E22" s="214"/>
    </row>
    <row r="23" spans="1:3" ht="15.75">
      <c r="A23" s="17"/>
      <c r="B23" s="17"/>
      <c r="C23" s="17"/>
    </row>
    <row r="24" spans="1:3" ht="15.75">
      <c r="A24" s="17"/>
      <c r="B24" s="17"/>
      <c r="C24" s="17"/>
    </row>
    <row r="25" spans="1:3" ht="15.75">
      <c r="A25" s="17"/>
      <c r="B25" s="5"/>
      <c r="C25" s="17"/>
    </row>
    <row r="26" spans="1:3" ht="18.75">
      <c r="A26" s="4"/>
      <c r="B26" s="4"/>
      <c r="C26" s="4"/>
    </row>
    <row r="27" spans="1:3" ht="18.75">
      <c r="A27" s="4"/>
      <c r="B27" s="4"/>
      <c r="C27" s="4"/>
    </row>
    <row r="28" spans="1:3" ht="18.75">
      <c r="A28" s="4"/>
      <c r="B28" s="4"/>
      <c r="C28" s="4"/>
    </row>
    <row r="29" spans="1:3" ht="18.75">
      <c r="A29" s="4"/>
      <c r="B29" s="4"/>
      <c r="C29" s="4"/>
    </row>
  </sheetData>
  <sheetProtection/>
  <mergeCells count="7">
    <mergeCell ref="A22:E22"/>
    <mergeCell ref="D2:D6"/>
    <mergeCell ref="A2:A6"/>
    <mergeCell ref="B2:B6"/>
    <mergeCell ref="C2:C6"/>
    <mergeCell ref="A1:E1"/>
    <mergeCell ref="E2:E6"/>
  </mergeCells>
  <printOptions/>
  <pageMargins left="1.1811023622047245" right="0.1968503937007874" top="0.31496062992125984" bottom="0.15748031496062992" header="0" footer="0"/>
  <pageSetup horizontalDpi="600" verticalDpi="600" orientation="landscape" paperSize="9" scale="7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K29"/>
  <sheetViews>
    <sheetView showZeros="0" view="pageBreakPreview" zoomScaleSheetLayoutView="100" zoomScalePageLayoutView="0" workbookViewId="0" topLeftCell="A1">
      <pane xSplit="2" ySplit="7" topLeftCell="C1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:J20"/>
    </sheetView>
  </sheetViews>
  <sheetFormatPr defaultColWidth="9.00390625" defaultRowHeight="12.75"/>
  <cols>
    <col min="1" max="1" width="4.125" style="1" customWidth="1"/>
    <col min="2" max="2" width="22.75390625" style="1" customWidth="1"/>
    <col min="3" max="3" width="21.125" style="1" customWidth="1"/>
    <col min="4" max="4" width="16.25390625" style="1" customWidth="1"/>
    <col min="5" max="5" width="18.75390625" style="1" customWidth="1"/>
    <col min="6" max="6" width="15.625" style="1" customWidth="1"/>
    <col min="7" max="7" width="20.00390625" style="1" customWidth="1"/>
    <col min="8" max="8" width="17.375" style="1" customWidth="1"/>
    <col min="9" max="9" width="19.75390625" style="1" customWidth="1"/>
    <col min="10" max="10" width="13.75390625" style="1" customWidth="1"/>
    <col min="11" max="16384" width="9.125" style="1" customWidth="1"/>
  </cols>
  <sheetData>
    <row r="1" spans="1:9" ht="30" customHeight="1" thickBot="1">
      <c r="A1" s="219" t="s">
        <v>62</v>
      </c>
      <c r="B1" s="219"/>
      <c r="C1" s="219"/>
      <c r="D1" s="219"/>
      <c r="E1" s="219"/>
      <c r="F1" s="219"/>
      <c r="G1" s="219"/>
      <c r="H1" s="219"/>
      <c r="I1" s="219"/>
    </row>
    <row r="2" spans="1:10" ht="12.75" customHeight="1">
      <c r="A2" s="220"/>
      <c r="B2" s="223" t="s">
        <v>21</v>
      </c>
      <c r="C2" s="215" t="s">
        <v>73</v>
      </c>
      <c r="D2" s="215" t="s">
        <v>67</v>
      </c>
      <c r="E2" s="215" t="s">
        <v>74</v>
      </c>
      <c r="F2" s="215" t="s">
        <v>67</v>
      </c>
      <c r="G2" s="215" t="s">
        <v>103</v>
      </c>
      <c r="H2" s="215" t="s">
        <v>67</v>
      </c>
      <c r="I2" s="216" t="s">
        <v>106</v>
      </c>
      <c r="J2" s="215" t="s">
        <v>67</v>
      </c>
    </row>
    <row r="3" spans="1:10" ht="12.75" customHeight="1">
      <c r="A3" s="221"/>
      <c r="B3" s="211" t="s">
        <v>0</v>
      </c>
      <c r="C3" s="205"/>
      <c r="D3" s="205"/>
      <c r="E3" s="205"/>
      <c r="F3" s="205"/>
      <c r="G3" s="205"/>
      <c r="H3" s="205"/>
      <c r="I3" s="217"/>
      <c r="J3" s="205"/>
    </row>
    <row r="4" spans="1:10" ht="15.75" customHeight="1">
      <c r="A4" s="221"/>
      <c r="B4" s="211" t="s">
        <v>1</v>
      </c>
      <c r="C4" s="205"/>
      <c r="D4" s="205"/>
      <c r="E4" s="205"/>
      <c r="F4" s="205"/>
      <c r="G4" s="205"/>
      <c r="H4" s="205"/>
      <c r="I4" s="217"/>
      <c r="J4" s="205"/>
    </row>
    <row r="5" spans="1:10" ht="16.5" customHeight="1">
      <c r="A5" s="221"/>
      <c r="B5" s="211"/>
      <c r="C5" s="205"/>
      <c r="D5" s="205"/>
      <c r="E5" s="205"/>
      <c r="F5" s="205"/>
      <c r="G5" s="205"/>
      <c r="H5" s="205"/>
      <c r="I5" s="217"/>
      <c r="J5" s="205"/>
    </row>
    <row r="6" spans="1:10" ht="151.5" customHeight="1">
      <c r="A6" s="222"/>
      <c r="B6" s="211"/>
      <c r="C6" s="206"/>
      <c r="D6" s="206"/>
      <c r="E6" s="206"/>
      <c r="F6" s="206"/>
      <c r="G6" s="206"/>
      <c r="H6" s="206"/>
      <c r="I6" s="218"/>
      <c r="J6" s="206"/>
    </row>
    <row r="7" spans="1:12" ht="18.75" customHeight="1">
      <c r="A7" s="19"/>
      <c r="B7" s="13">
        <v>1</v>
      </c>
      <c r="C7" s="41">
        <v>2</v>
      </c>
      <c r="D7" s="41" t="s">
        <v>75</v>
      </c>
      <c r="E7" s="41">
        <v>4</v>
      </c>
      <c r="F7" s="41" t="s">
        <v>104</v>
      </c>
      <c r="G7" s="41">
        <v>6</v>
      </c>
      <c r="H7" s="41" t="s">
        <v>71</v>
      </c>
      <c r="I7" s="22">
        <v>8</v>
      </c>
      <c r="J7" s="40" t="s">
        <v>105</v>
      </c>
      <c r="K7" s="7"/>
      <c r="L7" s="7"/>
    </row>
    <row r="8" spans="1:37" s="2" customFormat="1" ht="30" customHeight="1">
      <c r="A8" s="23">
        <v>1</v>
      </c>
      <c r="B8" s="42" t="s">
        <v>14</v>
      </c>
      <c r="C8" s="158">
        <v>1</v>
      </c>
      <c r="D8" s="158">
        <f>C8*0.05</f>
        <v>0.05</v>
      </c>
      <c r="E8" s="158">
        <v>1</v>
      </c>
      <c r="F8" s="159">
        <f>E8*0.05</f>
        <v>0.05</v>
      </c>
      <c r="G8" s="159"/>
      <c r="H8" s="159">
        <f>G8*0.05</f>
        <v>0</v>
      </c>
      <c r="I8" s="153">
        <v>1</v>
      </c>
      <c r="J8" s="160">
        <f>I8*0.05</f>
        <v>0.05</v>
      </c>
      <c r="K8" s="16"/>
      <c r="L8" s="16"/>
      <c r="M8" s="29"/>
      <c r="N8" s="29"/>
      <c r="O8" s="29"/>
      <c r="P8" s="29"/>
      <c r="Q8" s="29"/>
      <c r="R8" s="29"/>
      <c r="S8" s="29"/>
      <c r="T8" s="29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</row>
    <row r="9" spans="1:12" s="2" customFormat="1" ht="30" customHeight="1">
      <c r="A9" s="25">
        <f aca="true" t="shared" si="0" ref="A9:A15">A8+1</f>
        <v>2</v>
      </c>
      <c r="B9" s="43" t="s">
        <v>3</v>
      </c>
      <c r="C9" s="161">
        <v>1</v>
      </c>
      <c r="D9" s="158">
        <f aca="true" t="shared" si="1" ref="D9:D19">C9*0.05</f>
        <v>0.05</v>
      </c>
      <c r="E9" s="161">
        <v>1</v>
      </c>
      <c r="F9" s="159">
        <f aca="true" t="shared" si="2" ref="F9:F19">E9*0.05</f>
        <v>0.05</v>
      </c>
      <c r="G9" s="162">
        <v>0</v>
      </c>
      <c r="H9" s="159">
        <f aca="true" t="shared" si="3" ref="H9:H19">G9*0.05</f>
        <v>0</v>
      </c>
      <c r="I9" s="153">
        <v>1</v>
      </c>
      <c r="J9" s="160">
        <f aca="true" t="shared" si="4" ref="J9:J19">I9*0.05</f>
        <v>0.05</v>
      </c>
      <c r="K9" s="16"/>
      <c r="L9" s="16"/>
    </row>
    <row r="10" spans="1:14" s="2" customFormat="1" ht="29.25" customHeight="1">
      <c r="A10" s="25">
        <f t="shared" si="0"/>
        <v>3</v>
      </c>
      <c r="B10" s="43" t="s">
        <v>4</v>
      </c>
      <c r="C10" s="161">
        <v>1</v>
      </c>
      <c r="D10" s="158">
        <f t="shared" si="1"/>
        <v>0.05</v>
      </c>
      <c r="E10" s="161">
        <v>1</v>
      </c>
      <c r="F10" s="159">
        <f t="shared" si="2"/>
        <v>0.05</v>
      </c>
      <c r="G10" s="162">
        <v>1</v>
      </c>
      <c r="H10" s="159">
        <f t="shared" si="3"/>
        <v>0.05</v>
      </c>
      <c r="I10" s="153">
        <v>1</v>
      </c>
      <c r="J10" s="160">
        <f t="shared" si="4"/>
        <v>0.05</v>
      </c>
      <c r="K10" s="16"/>
      <c r="L10" s="16"/>
      <c r="M10" s="8"/>
      <c r="N10" s="8"/>
    </row>
    <row r="11" spans="1:12" s="2" customFormat="1" ht="28.5" customHeight="1">
      <c r="A11" s="25">
        <f t="shared" si="0"/>
        <v>4</v>
      </c>
      <c r="B11" s="43" t="s">
        <v>5</v>
      </c>
      <c r="C11" s="161">
        <v>1</v>
      </c>
      <c r="D11" s="158">
        <f t="shared" si="1"/>
        <v>0.05</v>
      </c>
      <c r="E11" s="161">
        <v>1</v>
      </c>
      <c r="F11" s="159">
        <f t="shared" si="2"/>
        <v>0.05</v>
      </c>
      <c r="G11" s="162">
        <v>0</v>
      </c>
      <c r="H11" s="159">
        <f t="shared" si="3"/>
        <v>0</v>
      </c>
      <c r="I11" s="153">
        <v>1</v>
      </c>
      <c r="J11" s="160">
        <f t="shared" si="4"/>
        <v>0.05</v>
      </c>
      <c r="K11" s="16"/>
      <c r="L11" s="16"/>
    </row>
    <row r="12" spans="1:12" s="2" customFormat="1" ht="28.5" customHeight="1">
      <c r="A12" s="25">
        <f t="shared" si="0"/>
        <v>5</v>
      </c>
      <c r="B12" s="43" t="s">
        <v>6</v>
      </c>
      <c r="C12" s="161">
        <v>1</v>
      </c>
      <c r="D12" s="158">
        <f t="shared" si="1"/>
        <v>0.05</v>
      </c>
      <c r="E12" s="161">
        <v>1</v>
      </c>
      <c r="F12" s="159">
        <f t="shared" si="2"/>
        <v>0.05</v>
      </c>
      <c r="G12" s="162"/>
      <c r="H12" s="159">
        <f t="shared" si="3"/>
        <v>0</v>
      </c>
      <c r="I12" s="153">
        <v>1</v>
      </c>
      <c r="J12" s="160">
        <f t="shared" si="4"/>
        <v>0.05</v>
      </c>
      <c r="K12" s="16"/>
      <c r="L12" s="16"/>
    </row>
    <row r="13" spans="1:12" s="2" customFormat="1" ht="27.75" customHeight="1">
      <c r="A13" s="25">
        <f t="shared" si="0"/>
        <v>6</v>
      </c>
      <c r="B13" s="43" t="s">
        <v>7</v>
      </c>
      <c r="C13" s="161">
        <v>1</v>
      </c>
      <c r="D13" s="158">
        <f t="shared" si="1"/>
        <v>0.05</v>
      </c>
      <c r="E13" s="161">
        <v>1</v>
      </c>
      <c r="F13" s="159">
        <f t="shared" si="2"/>
        <v>0.05</v>
      </c>
      <c r="G13" s="162">
        <v>1</v>
      </c>
      <c r="H13" s="159">
        <f t="shared" si="3"/>
        <v>0.05</v>
      </c>
      <c r="I13" s="153">
        <v>1</v>
      </c>
      <c r="J13" s="160">
        <f t="shared" si="4"/>
        <v>0.05</v>
      </c>
      <c r="K13" s="16"/>
      <c r="L13" s="16"/>
    </row>
    <row r="14" spans="1:12" s="2" customFormat="1" ht="27" customHeight="1">
      <c r="A14" s="25">
        <f t="shared" si="0"/>
        <v>7</v>
      </c>
      <c r="B14" s="43" t="s">
        <v>8</v>
      </c>
      <c r="C14" s="161">
        <v>1</v>
      </c>
      <c r="D14" s="158">
        <f t="shared" si="1"/>
        <v>0.05</v>
      </c>
      <c r="E14" s="161">
        <v>1</v>
      </c>
      <c r="F14" s="159">
        <f t="shared" si="2"/>
        <v>0.05</v>
      </c>
      <c r="G14" s="162">
        <v>1</v>
      </c>
      <c r="H14" s="159">
        <f t="shared" si="3"/>
        <v>0.05</v>
      </c>
      <c r="I14" s="153">
        <v>1</v>
      </c>
      <c r="J14" s="160">
        <f t="shared" si="4"/>
        <v>0.05</v>
      </c>
      <c r="K14" s="16"/>
      <c r="L14" s="16"/>
    </row>
    <row r="15" spans="1:12" s="2" customFormat="1" ht="27.75" customHeight="1">
      <c r="A15" s="25">
        <f t="shared" si="0"/>
        <v>8</v>
      </c>
      <c r="B15" s="43" t="s">
        <v>9</v>
      </c>
      <c r="C15" s="161">
        <v>1</v>
      </c>
      <c r="D15" s="158">
        <f t="shared" si="1"/>
        <v>0.05</v>
      </c>
      <c r="E15" s="161">
        <v>1</v>
      </c>
      <c r="F15" s="159">
        <f t="shared" si="2"/>
        <v>0.05</v>
      </c>
      <c r="G15" s="162">
        <v>1</v>
      </c>
      <c r="H15" s="159">
        <f t="shared" si="3"/>
        <v>0.05</v>
      </c>
      <c r="I15" s="153">
        <v>1</v>
      </c>
      <c r="J15" s="160">
        <f t="shared" si="4"/>
        <v>0.05</v>
      </c>
      <c r="K15" s="16"/>
      <c r="L15" s="16"/>
    </row>
    <row r="16" spans="1:12" s="2" customFormat="1" ht="31.5" customHeight="1">
      <c r="A16" s="25">
        <v>9</v>
      </c>
      <c r="B16" s="43" t="s">
        <v>10</v>
      </c>
      <c r="C16" s="161">
        <v>1</v>
      </c>
      <c r="D16" s="158">
        <f t="shared" si="1"/>
        <v>0.05</v>
      </c>
      <c r="E16" s="161">
        <v>1</v>
      </c>
      <c r="F16" s="159">
        <f t="shared" si="2"/>
        <v>0.05</v>
      </c>
      <c r="G16" s="162">
        <v>1</v>
      </c>
      <c r="H16" s="159">
        <f t="shared" si="3"/>
        <v>0.05</v>
      </c>
      <c r="I16" s="153">
        <v>1</v>
      </c>
      <c r="J16" s="160">
        <f t="shared" si="4"/>
        <v>0.05</v>
      </c>
      <c r="K16" s="16"/>
      <c r="L16" s="16"/>
    </row>
    <row r="17" spans="1:12" s="2" customFormat="1" ht="27.75" customHeight="1">
      <c r="A17" s="25">
        <v>10</v>
      </c>
      <c r="B17" s="43" t="s">
        <v>11</v>
      </c>
      <c r="C17" s="161">
        <v>1</v>
      </c>
      <c r="D17" s="158">
        <f t="shared" si="1"/>
        <v>0.05</v>
      </c>
      <c r="E17" s="161">
        <v>1</v>
      </c>
      <c r="F17" s="159">
        <f>E17*0.05</f>
        <v>0.05</v>
      </c>
      <c r="G17" s="162">
        <v>1</v>
      </c>
      <c r="H17" s="159">
        <f t="shared" si="3"/>
        <v>0.05</v>
      </c>
      <c r="I17" s="153">
        <v>1</v>
      </c>
      <c r="J17" s="160">
        <f t="shared" si="4"/>
        <v>0.05</v>
      </c>
      <c r="K17" s="16"/>
      <c r="L17" s="16"/>
    </row>
    <row r="18" spans="1:12" s="2" customFormat="1" ht="28.5" customHeight="1">
      <c r="A18" s="25">
        <v>11</v>
      </c>
      <c r="B18" s="43" t="s">
        <v>12</v>
      </c>
      <c r="C18" s="161">
        <v>1</v>
      </c>
      <c r="D18" s="158">
        <f t="shared" si="1"/>
        <v>0.05</v>
      </c>
      <c r="E18" s="161">
        <v>1</v>
      </c>
      <c r="F18" s="159">
        <f t="shared" si="2"/>
        <v>0.05</v>
      </c>
      <c r="G18" s="162">
        <v>1</v>
      </c>
      <c r="H18" s="159">
        <f t="shared" si="3"/>
        <v>0.05</v>
      </c>
      <c r="I18" s="153">
        <v>1</v>
      </c>
      <c r="J18" s="160">
        <f t="shared" si="4"/>
        <v>0.05</v>
      </c>
      <c r="K18" s="16"/>
      <c r="L18" s="16"/>
    </row>
    <row r="19" spans="1:12" s="2" customFormat="1" ht="26.25" customHeight="1" thickBot="1">
      <c r="A19" s="25">
        <v>12</v>
      </c>
      <c r="B19" s="44" t="s">
        <v>13</v>
      </c>
      <c r="C19" s="163">
        <v>1</v>
      </c>
      <c r="D19" s="164">
        <f t="shared" si="1"/>
        <v>0.05</v>
      </c>
      <c r="E19" s="163">
        <v>1</v>
      </c>
      <c r="F19" s="159">
        <f t="shared" si="2"/>
        <v>0.05</v>
      </c>
      <c r="G19" s="165"/>
      <c r="H19" s="159">
        <f t="shared" si="3"/>
        <v>0</v>
      </c>
      <c r="I19" s="154">
        <v>1</v>
      </c>
      <c r="J19" s="160">
        <f t="shared" si="4"/>
        <v>0.05</v>
      </c>
      <c r="K19" s="16"/>
      <c r="L19" s="16"/>
    </row>
    <row r="20" spans="1:12" s="2" customFormat="1" ht="30.75" customHeight="1" thickBot="1">
      <c r="A20" s="31"/>
      <c r="B20" s="33" t="s">
        <v>2</v>
      </c>
      <c r="C20" s="45">
        <f>SUM(C8:C19)</f>
        <v>12</v>
      </c>
      <c r="D20" s="45">
        <f aca="true" t="shared" si="5" ref="D20:J20">SUM(D8:D19)</f>
        <v>0.6</v>
      </c>
      <c r="E20" s="45">
        <f t="shared" si="5"/>
        <v>12</v>
      </c>
      <c r="F20" s="45">
        <f t="shared" si="5"/>
        <v>0.6</v>
      </c>
      <c r="G20" s="45">
        <f t="shared" si="5"/>
        <v>7</v>
      </c>
      <c r="H20" s="45">
        <f t="shared" si="5"/>
        <v>0.35</v>
      </c>
      <c r="I20" s="45">
        <f t="shared" si="5"/>
        <v>12</v>
      </c>
      <c r="J20" s="45">
        <f t="shared" si="5"/>
        <v>0.6</v>
      </c>
      <c r="K20" s="16"/>
      <c r="L20" s="16"/>
    </row>
    <row r="21" spans="1:9" ht="15.75">
      <c r="A21" s="17"/>
      <c r="B21" s="17"/>
      <c r="C21" s="17"/>
      <c r="D21" s="17"/>
      <c r="E21" s="17"/>
      <c r="F21" s="17"/>
      <c r="G21" s="17"/>
      <c r="H21" s="17"/>
      <c r="I21" s="17"/>
    </row>
    <row r="22" spans="1:9" ht="15.75">
      <c r="A22" s="214" t="s">
        <v>20</v>
      </c>
      <c r="B22" s="214"/>
      <c r="C22" s="214"/>
      <c r="D22" s="214"/>
      <c r="E22" s="214"/>
      <c r="F22" s="214"/>
      <c r="G22" s="214"/>
      <c r="H22" s="214"/>
      <c r="I22" s="214"/>
    </row>
    <row r="23" spans="1:9" ht="15.75">
      <c r="A23" s="17"/>
      <c r="B23" s="17"/>
      <c r="C23" s="17"/>
      <c r="D23" s="17"/>
      <c r="E23" s="17"/>
      <c r="F23" s="17"/>
      <c r="G23" s="17"/>
      <c r="H23" s="17"/>
      <c r="I23" s="17"/>
    </row>
    <row r="24" spans="1:9" ht="15.75">
      <c r="A24" s="17"/>
      <c r="B24" s="17"/>
      <c r="C24" s="17"/>
      <c r="D24" s="17"/>
      <c r="E24" s="17"/>
      <c r="F24" s="17"/>
      <c r="G24" s="17"/>
      <c r="H24" s="17"/>
      <c r="I24" s="17"/>
    </row>
    <row r="25" spans="1:9" ht="15.75">
      <c r="A25" s="17"/>
      <c r="B25" s="5"/>
      <c r="C25" s="5"/>
      <c r="D25" s="5"/>
      <c r="E25" s="5"/>
      <c r="F25" s="5"/>
      <c r="G25" s="5"/>
      <c r="H25" s="5"/>
      <c r="I25" s="17"/>
    </row>
    <row r="26" spans="1:9" ht="18.75">
      <c r="A26" s="4"/>
      <c r="B26" s="4"/>
      <c r="C26" s="4"/>
      <c r="D26" s="4"/>
      <c r="E26" s="4"/>
      <c r="F26" s="4"/>
      <c r="G26" s="4"/>
      <c r="H26" s="4"/>
      <c r="I26" s="4"/>
    </row>
    <row r="27" spans="1:9" ht="18.75">
      <c r="A27" s="4"/>
      <c r="B27" s="4"/>
      <c r="C27" s="4"/>
      <c r="D27" s="4"/>
      <c r="E27" s="4"/>
      <c r="F27" s="4"/>
      <c r="G27" s="4"/>
      <c r="H27" s="4"/>
      <c r="I27" s="4"/>
    </row>
    <row r="28" spans="1:9" ht="18.75">
      <c r="A28" s="4"/>
      <c r="B28" s="4"/>
      <c r="C28" s="4"/>
      <c r="D28" s="4"/>
      <c r="E28" s="4"/>
      <c r="F28" s="4"/>
      <c r="G28" s="4"/>
      <c r="H28" s="4"/>
      <c r="I28" s="4"/>
    </row>
    <row r="29" spans="1:9" ht="18.75">
      <c r="A29" s="4"/>
      <c r="B29" s="4"/>
      <c r="C29" s="4"/>
      <c r="D29" s="4"/>
      <c r="E29" s="4"/>
      <c r="F29" s="4"/>
      <c r="G29" s="4"/>
      <c r="H29" s="4"/>
      <c r="I29" s="4"/>
    </row>
  </sheetData>
  <sheetProtection/>
  <mergeCells count="12">
    <mergeCell ref="A1:I1"/>
    <mergeCell ref="A2:A6"/>
    <mergeCell ref="B2:B6"/>
    <mergeCell ref="I2:I6"/>
    <mergeCell ref="J2:J6"/>
    <mergeCell ref="A22:I22"/>
    <mergeCell ref="C2:C6"/>
    <mergeCell ref="E2:E6"/>
    <mergeCell ref="G2:G6"/>
    <mergeCell ref="D2:D6"/>
    <mergeCell ref="F2:F6"/>
    <mergeCell ref="H2:H6"/>
  </mergeCells>
  <printOptions/>
  <pageMargins left="1.1811023622047245" right="0.1968503937007874" top="0.31496062992125984" bottom="0.15748031496062992" header="0" footer="0"/>
  <pageSetup horizontalDpi="600" verticalDpi="600" orientation="landscape" paperSize="9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U29"/>
  <sheetViews>
    <sheetView showZeros="0" tabSelected="1"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W11" sqref="W11"/>
    </sheetView>
  </sheetViews>
  <sheetFormatPr defaultColWidth="9.00390625" defaultRowHeight="12.75"/>
  <cols>
    <col min="1" max="1" width="13.00390625" style="1" customWidth="1"/>
    <col min="2" max="2" width="6.00390625" style="1" customWidth="1"/>
    <col min="3" max="4" width="6.25390625" style="1" customWidth="1"/>
    <col min="5" max="5" width="6.00390625" style="1" customWidth="1"/>
    <col min="6" max="6" width="6.75390625" style="1" customWidth="1"/>
    <col min="7" max="7" width="6.375" style="1" customWidth="1"/>
    <col min="8" max="8" width="6.625" style="1" customWidth="1"/>
    <col min="9" max="9" width="6.75390625" style="1" customWidth="1"/>
    <col min="10" max="10" width="6.625" style="1" customWidth="1"/>
    <col min="11" max="11" width="6.75390625" style="1" customWidth="1"/>
    <col min="12" max="12" width="6.00390625" style="1" customWidth="1"/>
    <col min="13" max="14" width="6.375" style="1" customWidth="1"/>
    <col min="15" max="15" width="11.00390625" style="1" customWidth="1"/>
    <col min="16" max="16" width="7.125" style="1" hidden="1" customWidth="1"/>
    <col min="17" max="17" width="7.125" style="1" customWidth="1"/>
    <col min="18" max="18" width="6.625" style="1" customWidth="1"/>
    <col min="19" max="19" width="7.125" style="1" customWidth="1"/>
    <col min="20" max="20" width="6.375" style="1" customWidth="1"/>
    <col min="21" max="21" width="7.125" style="1" customWidth="1"/>
    <col min="22" max="22" width="6.125" style="1" customWidth="1"/>
    <col min="23" max="23" width="13.00390625" style="1" customWidth="1"/>
    <col min="24" max="16384" width="9.125" style="1" customWidth="1"/>
  </cols>
  <sheetData>
    <row r="1" spans="1:22" ht="30" customHeight="1" thickBot="1">
      <c r="A1" s="219"/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</row>
    <row r="2" spans="1:23" ht="12.75" customHeight="1">
      <c r="A2" s="227" t="s">
        <v>21</v>
      </c>
      <c r="B2" s="228" t="s">
        <v>79</v>
      </c>
      <c r="C2" s="228"/>
      <c r="D2" s="228"/>
      <c r="E2" s="228"/>
      <c r="F2" s="228" t="s">
        <v>80</v>
      </c>
      <c r="G2" s="228"/>
      <c r="H2" s="228" t="s">
        <v>86</v>
      </c>
      <c r="I2" s="228"/>
      <c r="J2" s="228"/>
      <c r="K2" s="228" t="s">
        <v>91</v>
      </c>
      <c r="L2" s="228"/>
      <c r="M2" s="228"/>
      <c r="N2" s="228"/>
      <c r="O2" s="228" t="s">
        <v>94</v>
      </c>
      <c r="P2" s="228"/>
      <c r="Q2" s="228" t="s">
        <v>101</v>
      </c>
      <c r="R2" s="228"/>
      <c r="S2" s="228" t="s">
        <v>62</v>
      </c>
      <c r="T2" s="228"/>
      <c r="U2" s="228"/>
      <c r="V2" s="235"/>
      <c r="W2" s="232" t="s">
        <v>102</v>
      </c>
    </row>
    <row r="3" spans="1:23" ht="12.75" customHeight="1">
      <c r="A3" s="228" t="s">
        <v>0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35"/>
      <c r="W3" s="233"/>
    </row>
    <row r="4" spans="1:23" ht="66.75" customHeight="1">
      <c r="A4" s="228" t="s">
        <v>1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35"/>
      <c r="W4" s="233"/>
    </row>
    <row r="5" spans="1:23" ht="16.5" customHeight="1">
      <c r="A5" s="228"/>
      <c r="B5" s="229" t="s">
        <v>76</v>
      </c>
      <c r="C5" s="229" t="s">
        <v>77</v>
      </c>
      <c r="D5" s="229" t="s">
        <v>113</v>
      </c>
      <c r="E5" s="229" t="s">
        <v>78</v>
      </c>
      <c r="F5" s="229" t="s">
        <v>81</v>
      </c>
      <c r="G5" s="229" t="s">
        <v>82</v>
      </c>
      <c r="H5" s="229" t="s">
        <v>83</v>
      </c>
      <c r="I5" s="229" t="s">
        <v>84</v>
      </c>
      <c r="J5" s="229" t="s">
        <v>85</v>
      </c>
      <c r="K5" s="229" t="s">
        <v>87</v>
      </c>
      <c r="L5" s="229" t="s">
        <v>88</v>
      </c>
      <c r="M5" s="229" t="s">
        <v>89</v>
      </c>
      <c r="N5" s="229" t="s">
        <v>90</v>
      </c>
      <c r="O5" s="229" t="s">
        <v>92</v>
      </c>
      <c r="P5" s="229" t="s">
        <v>93</v>
      </c>
      <c r="Q5" s="229" t="s">
        <v>95</v>
      </c>
      <c r="R5" s="229" t="s">
        <v>96</v>
      </c>
      <c r="S5" s="229" t="s">
        <v>97</v>
      </c>
      <c r="T5" s="229" t="s">
        <v>98</v>
      </c>
      <c r="U5" s="229" t="s">
        <v>99</v>
      </c>
      <c r="V5" s="231" t="s">
        <v>100</v>
      </c>
      <c r="W5" s="233"/>
    </row>
    <row r="6" spans="1:23" ht="26.25" customHeight="1">
      <c r="A6" s="228"/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1"/>
      <c r="W6" s="233"/>
    </row>
    <row r="7" spans="1:23" ht="18.75" customHeight="1">
      <c r="A7" s="13">
        <v>1</v>
      </c>
      <c r="B7" s="41">
        <v>2</v>
      </c>
      <c r="C7" s="41">
        <v>3</v>
      </c>
      <c r="D7" s="41">
        <v>4</v>
      </c>
      <c r="E7" s="41">
        <v>5</v>
      </c>
      <c r="F7" s="22">
        <v>6</v>
      </c>
      <c r="G7" s="40">
        <v>7</v>
      </c>
      <c r="H7" s="40">
        <v>8</v>
      </c>
      <c r="I7" s="40">
        <v>9</v>
      </c>
      <c r="J7" s="40">
        <v>10</v>
      </c>
      <c r="K7" s="40">
        <v>11</v>
      </c>
      <c r="L7" s="40">
        <v>12</v>
      </c>
      <c r="M7" s="40">
        <v>13</v>
      </c>
      <c r="N7" s="40">
        <v>14</v>
      </c>
      <c r="O7" s="40">
        <v>15</v>
      </c>
      <c r="P7" s="40">
        <v>18</v>
      </c>
      <c r="Q7" s="40">
        <v>16</v>
      </c>
      <c r="R7" s="40">
        <v>17</v>
      </c>
      <c r="S7" s="40">
        <v>18</v>
      </c>
      <c r="T7" s="40">
        <v>19</v>
      </c>
      <c r="U7" s="40">
        <v>20</v>
      </c>
      <c r="V7" s="55">
        <v>21</v>
      </c>
      <c r="W7" s="234"/>
    </row>
    <row r="8" spans="1:47" s="2" customFormat="1" ht="30" customHeight="1">
      <c r="A8" s="56" t="s">
        <v>14</v>
      </c>
      <c r="B8" s="60">
        <f>'отнош. дефицита'!G8</f>
        <v>0.05</v>
      </c>
      <c r="C8" s="59">
        <f>'отношение мун. долга'!G8</f>
        <v>0.025163548528965515</v>
      </c>
      <c r="D8" s="61">
        <f>'отнош. расх. на обслуж.'!I8</f>
        <v>0.038687097018274906</v>
      </c>
      <c r="E8" s="61">
        <f>'доля расх. на сод. аппарата'!G8</f>
        <v>0.008080079538473723</v>
      </c>
      <c r="F8" s="62">
        <f>'сниж. дотационности'!G8</f>
        <v>0</v>
      </c>
      <c r="G8" s="62">
        <f>'доля кр. зад.'!G8</f>
        <v>0.05</v>
      </c>
      <c r="H8" s="62">
        <f>'Динам. нал. дох.'!G8</f>
        <v>0.009686380532187672</v>
      </c>
      <c r="I8" s="62">
        <f>'Динамика недоимки'!G8</f>
        <v>0.03515408200863975</v>
      </c>
      <c r="J8" s="62">
        <f>'доходы от аренды'!G8</f>
        <v>0.05000157209398051</v>
      </c>
      <c r="K8" s="62">
        <f>'факт. расх.'!G8</f>
        <v>0.035096986974241136</v>
      </c>
      <c r="L8" s="62">
        <f>программы!G8</f>
        <v>0.037363145002255065</v>
      </c>
      <c r="M8" s="62">
        <f>МЗ!G8</f>
        <v>0.024589404990926402</v>
      </c>
      <c r="N8" s="62">
        <f>'расх. на аппарат'!G8</f>
        <v>0.04456595504970129</v>
      </c>
      <c r="O8" s="62">
        <f>'сокращение муниципального долга'!G8</f>
        <v>0.045008460236886635</v>
      </c>
      <c r="P8" s="62" t="e">
        <f>#REF!</f>
        <v>#REF!</v>
      </c>
      <c r="Q8" s="62">
        <f>'исполнение по доходам'!G8</f>
        <v>-1.6172718459995765E-07</v>
      </c>
      <c r="R8" s="62">
        <f>Равномерность!E8</f>
        <v>0.035227272727272725</v>
      </c>
      <c r="S8" s="62">
        <f>'Прозрачность бюджета'!D8</f>
        <v>0.05</v>
      </c>
      <c r="T8" s="62">
        <f>'Прозрачность бюджета'!F8</f>
        <v>0.05</v>
      </c>
      <c r="U8" s="62">
        <f>'Прозрачность бюджета'!H8</f>
        <v>0</v>
      </c>
      <c r="V8" s="63">
        <f>'Прозрачность бюджета'!J8</f>
        <v>0.05</v>
      </c>
      <c r="W8" s="68">
        <f>B8+C8+D8+E8+F8+G8+H8+I8+J8+K8+L8+M8+N8+O8+Q8+R8+S8+T8+U8+V8</f>
        <v>0.6386238229746208</v>
      </c>
      <c r="X8" s="29"/>
      <c r="Y8" s="29"/>
      <c r="Z8" s="29"/>
      <c r="AA8" s="29"/>
      <c r="AB8" s="29"/>
      <c r="AC8" s="29"/>
      <c r="AD8" s="29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</row>
    <row r="9" spans="1:23" s="2" customFormat="1" ht="30" customHeight="1">
      <c r="A9" s="57" t="s">
        <v>3</v>
      </c>
      <c r="B9" s="60">
        <f>'отнош. дефицита'!G9</f>
        <v>0.05</v>
      </c>
      <c r="C9" s="59">
        <f>'отношение мун. долга'!G9</f>
        <v>0.017264076805023003</v>
      </c>
      <c r="D9" s="61">
        <f>'отнош. расх. на обслуж.'!I9</f>
        <v>0.016846036373535975</v>
      </c>
      <c r="E9" s="61">
        <f>'доля расх. на сод. аппарата'!G9</f>
        <v>0.0007821227966732856</v>
      </c>
      <c r="F9" s="62">
        <f>'сниж. дотационности'!G9</f>
        <v>0.04999999125394997</v>
      </c>
      <c r="G9" s="62">
        <f>'доля кр. зад.'!G9</f>
        <v>0.05</v>
      </c>
      <c r="H9" s="62">
        <f>'Динам. нал. дох.'!G9</f>
        <v>0.024480797504869353</v>
      </c>
      <c r="I9" s="62">
        <f>'Динамика недоимки'!G9</f>
        <v>0.02303393666309898</v>
      </c>
      <c r="J9" s="62">
        <f>'доходы от аренды'!G9</f>
        <v>0.0002048840367900753</v>
      </c>
      <c r="K9" s="62">
        <f>'факт. расх.'!G9</f>
        <v>0.04791964493333551</v>
      </c>
      <c r="L9" s="62">
        <f>программы!G9</f>
        <v>0.04219338177621567</v>
      </c>
      <c r="M9" s="62">
        <f>МЗ!G9</f>
        <v>-3.970350532061444E-08</v>
      </c>
      <c r="N9" s="62">
        <f>'расх. на аппарат'!G9</f>
        <v>1.0847406644911759E-06</v>
      </c>
      <c r="O9" s="62">
        <f>'сокращение муниципального долга'!G9</f>
        <v>0.029895366218236175</v>
      </c>
      <c r="P9" s="62" t="e">
        <f>#REF!</f>
        <v>#REF!</v>
      </c>
      <c r="Q9" s="62">
        <f>'исполнение по доходам'!G9</f>
        <v>0.022654604365779707</v>
      </c>
      <c r="R9" s="62">
        <f>Равномерность!E9</f>
        <v>0.029707792207792207</v>
      </c>
      <c r="S9" s="62">
        <f>'Прозрачность бюджета'!D9</f>
        <v>0.05</v>
      </c>
      <c r="T9" s="62">
        <f>'Прозрачность бюджета'!F9</f>
        <v>0.05</v>
      </c>
      <c r="U9" s="62">
        <f>'Прозрачность бюджета'!H9</f>
        <v>0</v>
      </c>
      <c r="V9" s="63">
        <f>'Прозрачность бюджета'!J9</f>
        <v>0.05</v>
      </c>
      <c r="W9" s="68">
        <f aca="true" t="shared" si="0" ref="W9:W20">B9+C9+D9+E9+F9+G9+H9+I9+J9+K9+L9+M9+N9+O9+Q9+R9+S9+T9+U9+V9</f>
        <v>0.5549836799724592</v>
      </c>
    </row>
    <row r="10" spans="1:24" s="2" customFormat="1" ht="29.25" customHeight="1">
      <c r="A10" s="57" t="s">
        <v>4</v>
      </c>
      <c r="B10" s="60">
        <f>'отнош. дефицита'!G10</f>
        <v>0.05</v>
      </c>
      <c r="C10" s="59">
        <f>'отношение мун. долга'!G10</f>
        <v>0.04247313244902545</v>
      </c>
      <c r="D10" s="61">
        <f>'отнош. расх. на обслуж.'!I10</f>
        <v>0.042991532871390174</v>
      </c>
      <c r="E10" s="61">
        <f>'доля расх. на сод. аппарата'!G10</f>
        <v>0.005541184824508003</v>
      </c>
      <c r="F10" s="62">
        <f>'сниж. дотационности'!G10</f>
        <v>0</v>
      </c>
      <c r="G10" s="62">
        <f>'доля кр. зад.'!G10</f>
        <v>0.05</v>
      </c>
      <c r="H10" s="62">
        <f>'Динам. нал. дох.'!G10</f>
        <v>-2.141739272304923E-07</v>
      </c>
      <c r="I10" s="62">
        <f>'Динамика недоимки'!G10</f>
        <v>0.00442508069491864</v>
      </c>
      <c r="J10" s="62">
        <f>'доходы от аренды'!G10</f>
        <v>0.013650316795471096</v>
      </c>
      <c r="K10" s="62">
        <f>'факт. расх.'!G10</f>
        <v>0.04495618809001753</v>
      </c>
      <c r="L10" s="62">
        <f>программы!G10</f>
        <v>0.02977885948943225</v>
      </c>
      <c r="M10" s="62">
        <f>МЗ!G10</f>
        <v>0.009556769687123568</v>
      </c>
      <c r="N10" s="62">
        <f>'расх. на аппарат'!G10</f>
        <v>0.02814251213298748</v>
      </c>
      <c r="O10" s="62">
        <f>'сокращение муниципального долга'!G10</f>
        <v>0.05</v>
      </c>
      <c r="P10" s="62" t="e">
        <f>#REF!</f>
        <v>#REF!</v>
      </c>
      <c r="Q10" s="62">
        <f>'исполнение по доходам'!G10</f>
        <v>0.0047035504679317115</v>
      </c>
      <c r="R10" s="62">
        <f>Равномерность!E10</f>
        <v>0.04285714285714285</v>
      </c>
      <c r="S10" s="62">
        <f>'Прозрачность бюджета'!D10</f>
        <v>0.05</v>
      </c>
      <c r="T10" s="62">
        <f>'Прозрачность бюджета'!F10</f>
        <v>0.05</v>
      </c>
      <c r="U10" s="62">
        <f>'Прозрачность бюджета'!H10</f>
        <v>0.05</v>
      </c>
      <c r="V10" s="63">
        <f>'Прозрачность бюджета'!J10</f>
        <v>0.05</v>
      </c>
      <c r="W10" s="68">
        <f t="shared" si="0"/>
        <v>0.6190760561860216</v>
      </c>
      <c r="X10" s="8"/>
    </row>
    <row r="11" spans="1:23" s="2" customFormat="1" ht="28.5" customHeight="1">
      <c r="A11" s="57" t="s">
        <v>5</v>
      </c>
      <c r="B11" s="60">
        <f>'отнош. дефицита'!G11</f>
        <v>0.05</v>
      </c>
      <c r="C11" s="59">
        <f>'отношение мун. долга'!G11</f>
        <v>0.05</v>
      </c>
      <c r="D11" s="61">
        <f>'отнош. расх. на обслуж.'!I11</f>
        <v>0.024228862247310176</v>
      </c>
      <c r="E11" s="61">
        <f>'доля расх. на сод. аппарата'!G11</f>
        <v>-2.8362494460107892E-05</v>
      </c>
      <c r="F11" s="62">
        <f>'сниж. дотационности'!G11</f>
        <v>0</v>
      </c>
      <c r="G11" s="62">
        <f>'доля кр. зад.'!G11</f>
        <v>0.05</v>
      </c>
      <c r="H11" s="62">
        <f>'Динам. нал. дох.'!G11</f>
        <v>0.022764424029493163</v>
      </c>
      <c r="I11" s="62">
        <f>'Динамика недоимки'!G11</f>
        <v>0.0015135249083096088</v>
      </c>
      <c r="J11" s="62">
        <f>'доходы от аренды'!G11</f>
        <v>-2.0610690424131426E-06</v>
      </c>
      <c r="K11" s="62">
        <f>'факт. расх.'!G11</f>
        <v>0.04873075708612181</v>
      </c>
      <c r="L11" s="62">
        <f>программы!G11</f>
        <v>0.049233850620763936</v>
      </c>
      <c r="M11" s="62">
        <f>МЗ!G11</f>
        <v>0.0014631553121262422</v>
      </c>
      <c r="N11" s="62">
        <f>'расх. на аппарат'!G11</f>
        <v>0.02439860885265198</v>
      </c>
      <c r="O11" s="62"/>
      <c r="P11" s="62" t="e">
        <f>#REF!</f>
        <v>#REF!</v>
      </c>
      <c r="Q11" s="62">
        <f>'исполнение по доходам'!G11</f>
        <v>0.00853554876664772</v>
      </c>
      <c r="R11" s="62">
        <f>Равномерность!E11</f>
        <v>0.04172077922077922</v>
      </c>
      <c r="S11" s="62">
        <f>'Прозрачность бюджета'!D11</f>
        <v>0.05</v>
      </c>
      <c r="T11" s="62">
        <f>'Прозрачность бюджета'!F11</f>
        <v>0.05</v>
      </c>
      <c r="U11" s="62">
        <f>'Прозрачность бюджета'!H11</f>
        <v>0</v>
      </c>
      <c r="V11" s="63">
        <f>'Прозрачность бюджета'!J11</f>
        <v>0.05</v>
      </c>
      <c r="W11" s="68">
        <f t="shared" si="0"/>
        <v>0.5225590874807013</v>
      </c>
    </row>
    <row r="12" spans="1:23" s="2" customFormat="1" ht="28.5" customHeight="1">
      <c r="A12" s="57" t="s">
        <v>6</v>
      </c>
      <c r="B12" s="60">
        <f>'отнош. дефицита'!G12</f>
        <v>0.05</v>
      </c>
      <c r="C12" s="59">
        <f>'отношение мун. долга'!G12</f>
        <v>0.05</v>
      </c>
      <c r="D12" s="61">
        <f>'отнош. расх. на обслуж.'!I12</f>
        <v>0.05</v>
      </c>
      <c r="E12" s="61">
        <f>'доля расх. на сод. аппарата'!G12</f>
        <v>-0.00014973854348231464</v>
      </c>
      <c r="F12" s="62">
        <f>'сниж. дотационности'!G12</f>
        <v>0</v>
      </c>
      <c r="G12" s="62">
        <f>'доля кр. зад.'!G12</f>
        <v>0.05</v>
      </c>
      <c r="H12" s="62">
        <f>'Динам. нал. дох.'!G12</f>
        <v>0.029824663716168168</v>
      </c>
      <c r="I12" s="62">
        <f>'Динамика недоимки'!G12</f>
        <v>0.030605174632187232</v>
      </c>
      <c r="J12" s="62">
        <f>'доходы от аренды'!G12</f>
        <v>0.00023166886484273376</v>
      </c>
      <c r="K12" s="62">
        <f>'факт. расх.'!G12</f>
        <v>0.013165509875277925</v>
      </c>
      <c r="L12" s="62">
        <f>программы!G12</f>
        <v>0.008418684543213378</v>
      </c>
      <c r="M12" s="62">
        <f>МЗ!G12</f>
        <v>0.00611334928963725</v>
      </c>
      <c r="N12" s="62">
        <f>'расх. на аппарат'!G12</f>
        <v>0.018062465053721097</v>
      </c>
      <c r="O12" s="62">
        <f>'сокращение муниципального долга'!G12</f>
        <v>0</v>
      </c>
      <c r="P12" s="62" t="e">
        <f>#REF!</f>
        <v>#REF!</v>
      </c>
      <c r="Q12" s="62">
        <f>'исполнение по доходам'!G12</f>
        <v>0.021376009455637716</v>
      </c>
      <c r="R12" s="62">
        <f>Равномерность!E12</f>
        <v>0.0336038961038961</v>
      </c>
      <c r="S12" s="62">
        <f>'Прозрачность бюджета'!D12</f>
        <v>0.05</v>
      </c>
      <c r="T12" s="62">
        <f>'Прозрачность бюджета'!F12</f>
        <v>0.05</v>
      </c>
      <c r="U12" s="62">
        <f>'Прозрачность бюджета'!H12</f>
        <v>0</v>
      </c>
      <c r="V12" s="63">
        <f>'Прозрачность бюджета'!J12</f>
        <v>0.05</v>
      </c>
      <c r="W12" s="68">
        <f t="shared" si="0"/>
        <v>0.5112516829910992</v>
      </c>
    </row>
    <row r="13" spans="1:23" s="2" customFormat="1" ht="27.75" customHeight="1">
      <c r="A13" s="57" t="s">
        <v>7</v>
      </c>
      <c r="B13" s="60">
        <f>'отнош. дефицита'!G13</f>
        <v>0.026749693359403155</v>
      </c>
      <c r="C13" s="59">
        <f>'отношение мун. долга'!G13</f>
        <v>0.029429374546195732</v>
      </c>
      <c r="D13" s="61">
        <f>'отнош. расх. на обслуж.'!I13</f>
        <v>0.03269005835173215</v>
      </c>
      <c r="E13" s="61">
        <f>'доля расх. на сод. аппарата'!G13</f>
        <v>0.05003611086034126</v>
      </c>
      <c r="F13" s="62">
        <f>'сниж. дотационности'!G13</f>
        <v>0.024365371937726144</v>
      </c>
      <c r="G13" s="62">
        <f>'доля кр. зад.'!G13</f>
        <v>0.05</v>
      </c>
      <c r="H13" s="62">
        <f>'Динам. нал. дох.'!G13</f>
        <v>0.020852895521268733</v>
      </c>
      <c r="I13" s="62">
        <f>'Динамика недоимки'!G13</f>
        <v>0.004204165221519271</v>
      </c>
      <c r="J13" s="62">
        <f>'доходы от аренды'!G13</f>
        <v>0.00023167813213688935</v>
      </c>
      <c r="K13" s="62">
        <f>'факт. расх.'!G13</f>
        <v>0.04829953808583541</v>
      </c>
      <c r="L13" s="62">
        <f>программы!G13</f>
        <v>0.04839771648487899</v>
      </c>
      <c r="M13" s="62">
        <f>МЗ!G13</f>
        <v>0.011148582196396278</v>
      </c>
      <c r="N13" s="62">
        <f>'расх. на аппарат'!G13</f>
        <v>0.019993723716591156</v>
      </c>
      <c r="O13" s="62">
        <f>'сокращение муниципального долга'!G13</f>
        <v>0.04848484848484849</v>
      </c>
      <c r="P13" s="62" t="e">
        <f>#REF!</f>
        <v>#REF!</v>
      </c>
      <c r="Q13" s="62">
        <f>'исполнение по доходам'!G13</f>
        <v>0.00043258211057616816</v>
      </c>
      <c r="R13" s="62">
        <f>Равномерность!E13</f>
        <v>0.03084415584415584</v>
      </c>
      <c r="S13" s="62">
        <f>'Прозрачность бюджета'!D13</f>
        <v>0.05</v>
      </c>
      <c r="T13" s="62">
        <f>'Прозрачность бюджета'!F13</f>
        <v>0.05</v>
      </c>
      <c r="U13" s="62">
        <f>'Прозрачность бюджета'!H13</f>
        <v>0.05</v>
      </c>
      <c r="V13" s="63">
        <f>'Прозрачность бюджета'!J13</f>
        <v>0.05</v>
      </c>
      <c r="W13" s="68">
        <f t="shared" si="0"/>
        <v>0.6461604948536058</v>
      </c>
    </row>
    <row r="14" spans="1:23" s="2" customFormat="1" ht="27" customHeight="1">
      <c r="A14" s="57" t="s">
        <v>8</v>
      </c>
      <c r="B14" s="60">
        <f>'отнош. дефицита'!G14</f>
        <v>0.05</v>
      </c>
      <c r="C14" s="59">
        <f>'отношение мун. долга'!G14</f>
        <v>0.01587039365058986</v>
      </c>
      <c r="D14" s="61">
        <f>'отнош. расх. на обслуж.'!I14</f>
        <v>0.010704642899162339</v>
      </c>
      <c r="E14" s="61">
        <f>'доля расх. на сод. аппарата'!G14</f>
        <v>0.03089485092215606</v>
      </c>
      <c r="F14" s="62">
        <f>'сниж. дотационности'!G14</f>
        <v>0.010297562357837865</v>
      </c>
      <c r="G14" s="62">
        <f>'доля кр. зад.'!G14</f>
        <v>0.05</v>
      </c>
      <c r="H14" s="62">
        <f>'Динам. нал. дох.'!G14</f>
        <v>0.011449949229552881</v>
      </c>
      <c r="I14" s="62">
        <f>'Динамика недоимки'!G14</f>
        <v>0.004928096424301257</v>
      </c>
      <c r="J14" s="62">
        <f>'доходы от аренды'!G14</f>
        <v>0.014724740958902673</v>
      </c>
      <c r="K14" s="62">
        <f>'факт. расх.'!G14</f>
        <v>0.03957381252343261</v>
      </c>
      <c r="L14" s="62">
        <f>программы!G14</f>
        <v>0.008051782940170634</v>
      </c>
      <c r="M14" s="62">
        <f>МЗ!G14</f>
        <v>0.0025641972326014527</v>
      </c>
      <c r="N14" s="62">
        <f>'расх. на аппарат'!G14</f>
        <v>0.013213799558582729</v>
      </c>
      <c r="O14" s="62">
        <f>'сокращение муниципального долга'!G14</f>
        <v>0.022362869198312235</v>
      </c>
      <c r="P14" s="62" t="e">
        <f>#REF!</f>
        <v>#REF!</v>
      </c>
      <c r="Q14" s="62">
        <f>'исполнение по доходам'!G14</f>
        <v>0.01877222853419787</v>
      </c>
      <c r="R14" s="62">
        <f>Равномерность!E14</f>
        <v>0.033522727272727273</v>
      </c>
      <c r="S14" s="62">
        <f>'Прозрачность бюджета'!D14</f>
        <v>0.05</v>
      </c>
      <c r="T14" s="62">
        <f>'Прозрачность бюджета'!F14</f>
        <v>0.05</v>
      </c>
      <c r="U14" s="62">
        <f>'Прозрачность бюджета'!H14</f>
        <v>0.05</v>
      </c>
      <c r="V14" s="63">
        <f>'Прозрачность бюджета'!J14</f>
        <v>0.05</v>
      </c>
      <c r="W14" s="68">
        <f t="shared" si="0"/>
        <v>0.5369316537025277</v>
      </c>
    </row>
    <row r="15" spans="1:23" s="2" customFormat="1" ht="27.75" customHeight="1">
      <c r="A15" s="57" t="s">
        <v>9</v>
      </c>
      <c r="B15" s="60">
        <f>'отнош. дефицита'!G15</f>
        <v>0.05</v>
      </c>
      <c r="C15" s="59">
        <f>'отношение мун. долга'!G15</f>
        <v>-8.95415890088192E-05</v>
      </c>
      <c r="D15" s="61">
        <f>'отнош. расх. на обслуж.'!I15</f>
        <v>-6.0780410580115755E-05</v>
      </c>
      <c r="E15" s="61">
        <f>'доля расх. на сод. аппарата'!G15</f>
        <v>0.015996162777043327</v>
      </c>
      <c r="F15" s="62">
        <f>'сниж. дотационности'!G15</f>
        <v>0.014193674464770238</v>
      </c>
      <c r="G15" s="62">
        <f>'доля кр. зад.'!G15</f>
        <v>0.05</v>
      </c>
      <c r="H15" s="62">
        <f>'Динам. нал. дох.'!G15</f>
        <v>0.021945833784515416</v>
      </c>
      <c r="I15" s="62">
        <f>'Динамика недоимки'!G15</f>
        <v>0.007646379701706062</v>
      </c>
      <c r="J15" s="62">
        <f>'доходы от аренды'!G15</f>
        <v>0.00023167284943909083</v>
      </c>
      <c r="K15" s="62">
        <f>'факт. расх.'!G15</f>
        <v>0.046148921875803495</v>
      </c>
      <c r="L15" s="62">
        <f>программы!G15</f>
        <v>4.073188652619288E-06</v>
      </c>
      <c r="M15" s="62">
        <f>МЗ!G15</f>
        <v>0.0032555204142734615</v>
      </c>
      <c r="N15" s="62">
        <f>'расх. на аппарат'!G15</f>
        <v>0.03198792881038475</v>
      </c>
      <c r="O15" s="62">
        <f>'сокращение муниципального долга'!G15</f>
        <v>0.015852130325814538</v>
      </c>
      <c r="P15" s="62" t="e">
        <f>#REF!</f>
        <v>#REF!</v>
      </c>
      <c r="Q15" s="62">
        <f>'исполнение по доходам'!G15</f>
        <v>0.034485811117083064</v>
      </c>
      <c r="R15" s="62">
        <f>Равномерность!E15</f>
        <v>0.03685064935064935</v>
      </c>
      <c r="S15" s="62">
        <f>'Прозрачность бюджета'!D15</f>
        <v>0.05</v>
      </c>
      <c r="T15" s="62">
        <f>'Прозрачность бюджета'!F15</f>
        <v>0.05</v>
      </c>
      <c r="U15" s="62">
        <f>'Прозрачность бюджета'!H15</f>
        <v>0.05</v>
      </c>
      <c r="V15" s="63">
        <f>'Прозрачность бюджета'!J15</f>
        <v>0.05</v>
      </c>
      <c r="W15" s="68">
        <f t="shared" si="0"/>
        <v>0.5284484366605464</v>
      </c>
    </row>
    <row r="16" spans="1:23" s="2" customFormat="1" ht="31.5" customHeight="1">
      <c r="A16" s="57" t="s">
        <v>10</v>
      </c>
      <c r="B16" s="60">
        <f>'отнош. дефицита'!G16</f>
        <v>0.05</v>
      </c>
      <c r="C16" s="59">
        <f>'отношение мун. долга'!G16</f>
        <v>0.05</v>
      </c>
      <c r="D16" s="61">
        <f>'отнош. расх. на обслуж.'!I16</f>
        <v>0.05</v>
      </c>
      <c r="E16" s="61">
        <f>'доля расх. на сод. аппарата'!G16</f>
        <v>0.0029707561661304885</v>
      </c>
      <c r="F16" s="62">
        <f>'сниж. дотационности'!G16</f>
        <v>0</v>
      </c>
      <c r="G16" s="62">
        <f>'доля кр. зад.'!G16</f>
        <v>0.05</v>
      </c>
      <c r="H16" s="62">
        <f>'Динам. нал. дох.'!G16</f>
        <v>0.032046399703218195</v>
      </c>
      <c r="I16" s="62">
        <f>'Динамика недоимки'!G16</f>
        <v>-7.09408848207282E-07</v>
      </c>
      <c r="J16" s="62">
        <f>'доходы от аренды'!G16</f>
        <v>0.00023167256121840344</v>
      </c>
      <c r="K16" s="62">
        <f>'факт. расх.'!G16</f>
        <v>0.04969454440660358</v>
      </c>
      <c r="L16" s="62">
        <f>программы!G16</f>
        <v>0.05000462833206873</v>
      </c>
      <c r="M16" s="62">
        <f>МЗ!G16</f>
        <v>0.0007230062306221681</v>
      </c>
      <c r="N16" s="62">
        <f>'расх. на аппарат'!G16</f>
        <v>0.025164462351702544</v>
      </c>
      <c r="O16" s="62">
        <f>'сокращение муниципального долга'!G16</f>
        <v>0</v>
      </c>
      <c r="P16" s="62" t="e">
        <f>#REF!</f>
        <v>#REF!</v>
      </c>
      <c r="Q16" s="62">
        <f>'исполнение по доходам'!G16</f>
        <v>0.04999966074467132</v>
      </c>
      <c r="R16" s="62">
        <f>Равномерность!E16</f>
        <v>0.0323051948051948</v>
      </c>
      <c r="S16" s="62">
        <f>'Прозрачность бюджета'!D16</f>
        <v>0.05</v>
      </c>
      <c r="T16" s="62">
        <f>'Прозрачность бюджета'!F16</f>
        <v>0.05</v>
      </c>
      <c r="U16" s="62">
        <f>'Прозрачность бюджета'!H16</f>
        <v>0.05</v>
      </c>
      <c r="V16" s="63">
        <f>'Прозрачность бюджета'!J16</f>
        <v>0.05</v>
      </c>
      <c r="W16" s="68">
        <f t="shared" si="0"/>
        <v>0.6431396158925821</v>
      </c>
    </row>
    <row r="17" spans="1:23" s="2" customFormat="1" ht="27.75" customHeight="1">
      <c r="A17" s="57" t="s">
        <v>11</v>
      </c>
      <c r="B17" s="60">
        <f>'отнош. дефицита'!G17</f>
        <v>-6.356388783954764E-05</v>
      </c>
      <c r="C17" s="59">
        <f>'отношение мун. долга'!G17</f>
        <v>0.05</v>
      </c>
      <c r="D17" s="61">
        <f>'отнош. расх. на обслуж.'!I17</f>
        <v>0.05</v>
      </c>
      <c r="E17" s="61">
        <f>'доля расх. на сод. аппарата'!G17</f>
        <v>0.008522474300244401</v>
      </c>
      <c r="F17" s="62">
        <f>'сниж. дотационности'!G17</f>
        <v>0</v>
      </c>
      <c r="G17" s="62">
        <f>'доля кр. зад.'!G17</f>
        <v>0.05</v>
      </c>
      <c r="H17" s="62">
        <f>'Динам. нал. дох.'!G17</f>
        <v>0.04999984267610794</v>
      </c>
      <c r="I17" s="62">
        <f>'Динамика недоимки'!G17</f>
        <v>0.050000643548510186</v>
      </c>
      <c r="J17" s="62">
        <f>'доходы от аренды'!G17</f>
        <v>0.00646574254240329</v>
      </c>
      <c r="K17" s="62">
        <f>'факт. расх.'!G17</f>
        <v>0.04313550867813699</v>
      </c>
      <c r="L17" s="62">
        <f>программы!G17</f>
        <v>0.048118459645930006</v>
      </c>
      <c r="M17" s="62">
        <f>МЗ!G17</f>
        <v>0.04999999686566782</v>
      </c>
      <c r="N17" s="62">
        <f>'расх. на аппарат'!G17</f>
        <v>0.017360438017099307</v>
      </c>
      <c r="O17" s="62">
        <f>'сокращение муниципального долга'!G17</f>
        <v>0</v>
      </c>
      <c r="P17" s="62" t="e">
        <f>#REF!</f>
        <v>#REF!</v>
      </c>
      <c r="Q17" s="62">
        <f>'исполнение по доходам'!G17</f>
        <v>0.0002555303965220801</v>
      </c>
      <c r="R17" s="62">
        <f>Равномерность!E17</f>
        <v>0.022240259740259737</v>
      </c>
      <c r="S17" s="62">
        <f>'Прозрачность бюджета'!D17</f>
        <v>0.05</v>
      </c>
      <c r="T17" s="62">
        <f>'Прозрачность бюджета'!F17</f>
        <v>0.05</v>
      </c>
      <c r="U17" s="62">
        <f>'Прозрачность бюджета'!H17</f>
        <v>0.05</v>
      </c>
      <c r="V17" s="63">
        <f>'Прозрачность бюджета'!J17</f>
        <v>0.05</v>
      </c>
      <c r="W17" s="68">
        <f t="shared" si="0"/>
        <v>0.6460353325230422</v>
      </c>
    </row>
    <row r="18" spans="1:23" s="2" customFormat="1" ht="28.5" customHeight="1">
      <c r="A18" s="57" t="s">
        <v>12</v>
      </c>
      <c r="B18" s="60">
        <f>'отнош. дефицита'!G18</f>
        <v>0.05</v>
      </c>
      <c r="C18" s="59">
        <f>'отношение мун. долга'!G18</f>
        <v>0.05</v>
      </c>
      <c r="D18" s="61">
        <f>'отнош. расх. на обслуж.'!I18</f>
        <v>0.05</v>
      </c>
      <c r="E18" s="61">
        <f>'доля расх. на сод. аппарата'!G18</f>
        <v>0.002074239279949729</v>
      </c>
      <c r="F18" s="62">
        <f>'сниж. дотационности'!G18</f>
        <v>0</v>
      </c>
      <c r="G18" s="62">
        <f>'доля кр. зад.'!G18</f>
        <v>0.05</v>
      </c>
      <c r="H18" s="62">
        <f>'Динам. нал. дох.'!G18</f>
        <v>0.032450072026957176</v>
      </c>
      <c r="I18" s="62">
        <f>'Динамика недоимки'!G18</f>
        <v>0.005812833874747551</v>
      </c>
      <c r="J18" s="62">
        <f>'доходы от аренды'!G18</f>
        <v>0.0076809270394769735</v>
      </c>
      <c r="K18" s="62">
        <f>'факт. расх.'!G18</f>
        <v>-3.073300621134097E-06</v>
      </c>
      <c r="L18" s="62">
        <f>программы!G18</f>
        <v>0.002355093883841695</v>
      </c>
      <c r="M18" s="62">
        <f>МЗ!G18</f>
        <v>0.005025344628936426</v>
      </c>
      <c r="N18" s="62">
        <f>'расх. на аппарат'!G18</f>
        <v>0.05000159202178033</v>
      </c>
      <c r="O18" s="62">
        <f>'сокращение муниципального долга'!G18</f>
        <v>0</v>
      </c>
      <c r="P18" s="62" t="e">
        <f>#REF!</f>
        <v>#REF!</v>
      </c>
      <c r="Q18" s="62">
        <f>'исполнение по доходам'!G18</f>
        <v>0.024697857695363715</v>
      </c>
      <c r="R18" s="62">
        <f>Равномерность!E18</f>
        <v>0</v>
      </c>
      <c r="S18" s="62">
        <f>'Прозрачность бюджета'!D18</f>
        <v>0.05</v>
      </c>
      <c r="T18" s="62">
        <f>'Прозрачность бюджета'!F18</f>
        <v>0.05</v>
      </c>
      <c r="U18" s="62">
        <f>'Прозрачность бюджета'!H18</f>
        <v>0.05</v>
      </c>
      <c r="V18" s="63">
        <f>'Прозрачность бюджета'!J18</f>
        <v>0.05</v>
      </c>
      <c r="W18" s="68">
        <f t="shared" si="0"/>
        <v>0.5300948871504325</v>
      </c>
    </row>
    <row r="19" spans="1:23" s="2" customFormat="1" ht="26.25" customHeight="1" thickBot="1">
      <c r="A19" s="58" t="s">
        <v>13</v>
      </c>
      <c r="B19" s="60">
        <f>'отнош. дефицита'!G19</f>
        <v>0.05</v>
      </c>
      <c r="C19" s="59">
        <f>'отношение мун. долга'!G19</f>
        <v>0.05</v>
      </c>
      <c r="D19" s="61">
        <f>'отнош. расх. на обслуж.'!I19</f>
        <v>0.05</v>
      </c>
      <c r="E19" s="61">
        <f>'доля расх. на сод. аппарата'!G19</f>
        <v>-0.0006466828971393672</v>
      </c>
      <c r="F19" s="62">
        <f>'сниж. дотационности'!G19</f>
        <v>0</v>
      </c>
      <c r="G19" s="62">
        <f>'доля кр. зад.'!G19</f>
        <v>0.05</v>
      </c>
      <c r="H19" s="62">
        <f>'Динам. нал. дох.'!G19</f>
        <v>0.01892908761438785</v>
      </c>
      <c r="I19" s="62">
        <f>'Динамика недоимки'!G19</f>
        <v>0.01612287981796562</v>
      </c>
      <c r="J19" s="62">
        <f>'доходы от аренды'!G19</f>
        <v>0.0001708377109719255</v>
      </c>
      <c r="K19" s="62">
        <f>'факт. расх.'!G19</f>
        <v>0.04999547217312204</v>
      </c>
      <c r="L19" s="62">
        <f>программы!G19</f>
        <v>0.04903292347684728</v>
      </c>
      <c r="M19" s="62">
        <f>МЗ!G19</f>
        <v>0.004033153255736349</v>
      </c>
      <c r="N19" s="62">
        <f>'расх. на аппарат'!G19</f>
        <v>0.016216708021494993</v>
      </c>
      <c r="O19" s="62">
        <f>'сокращение муниципального долга'!G19</f>
        <v>0</v>
      </c>
      <c r="P19" s="62" t="e">
        <f>#REF!</f>
        <v>#REF!</v>
      </c>
      <c r="Q19" s="62">
        <f>'исполнение по доходам'!G19</f>
        <v>0.017569022982677707</v>
      </c>
      <c r="R19" s="62">
        <f>Равномерность!E19</f>
        <v>0.05</v>
      </c>
      <c r="S19" s="62">
        <f>'Прозрачность бюджета'!D19</f>
        <v>0.05</v>
      </c>
      <c r="T19" s="62">
        <f>'Прозрачность бюджета'!F19</f>
        <v>0.05</v>
      </c>
      <c r="U19" s="62">
        <f>'Прозрачность бюджета'!H19</f>
        <v>0</v>
      </c>
      <c r="V19" s="63">
        <f>'Прозрачность бюджета'!J19</f>
        <v>0.05</v>
      </c>
      <c r="W19" s="68">
        <f t="shared" si="0"/>
        <v>0.5714234021560645</v>
      </c>
    </row>
    <row r="20" spans="1:23" s="2" customFormat="1" ht="16.5" customHeight="1" thickBot="1">
      <c r="A20" s="33" t="s">
        <v>2</v>
      </c>
      <c r="B20" s="64">
        <f>SUM(B8:B19)/12</f>
        <v>0.04389051078929696</v>
      </c>
      <c r="C20" s="64">
        <f aca="true" t="shared" si="1" ref="C20:V20">SUM(C8:C19)/12</f>
        <v>0.03584258203256589</v>
      </c>
      <c r="D20" s="64">
        <f t="shared" si="1"/>
        <v>0.0346739541125688</v>
      </c>
      <c r="E20" s="64">
        <f t="shared" si="1"/>
        <v>0.01033943312753654</v>
      </c>
      <c r="F20" s="64">
        <f t="shared" si="1"/>
        <v>0.008238050001190352</v>
      </c>
      <c r="G20" s="64">
        <f t="shared" si="1"/>
        <v>0.049999999999999996</v>
      </c>
      <c r="H20" s="64">
        <f t="shared" si="1"/>
        <v>0.02286917768039994</v>
      </c>
      <c r="I20" s="64">
        <f t="shared" si="1"/>
        <v>0.015287174007254661</v>
      </c>
      <c r="J20" s="64">
        <f t="shared" si="1"/>
        <v>0.007818637709715937</v>
      </c>
      <c r="K20" s="64">
        <f t="shared" si="1"/>
        <v>0.03889281761677558</v>
      </c>
      <c r="L20" s="64">
        <f t="shared" si="1"/>
        <v>0.031079383282022522</v>
      </c>
      <c r="M20" s="64">
        <f t="shared" si="1"/>
        <v>0.00987270336671184</v>
      </c>
      <c r="N20" s="64">
        <f t="shared" si="1"/>
        <v>0.024092439860613515</v>
      </c>
      <c r="O20" s="64">
        <f t="shared" si="1"/>
        <v>0.017633639538674837</v>
      </c>
      <c r="P20" s="64" t="e">
        <f t="shared" si="1"/>
        <v>#REF!</v>
      </c>
      <c r="Q20" s="64">
        <f t="shared" si="1"/>
        <v>0.016956853742492017</v>
      </c>
      <c r="R20" s="64">
        <f t="shared" si="1"/>
        <v>0.03240665584415584</v>
      </c>
      <c r="S20" s="64">
        <f t="shared" si="1"/>
        <v>0.049999999999999996</v>
      </c>
      <c r="T20" s="64">
        <f t="shared" si="1"/>
        <v>0.049999999999999996</v>
      </c>
      <c r="U20" s="64">
        <f t="shared" si="1"/>
        <v>0.029166666666666664</v>
      </c>
      <c r="V20" s="72">
        <f t="shared" si="1"/>
        <v>0.049999999999999996</v>
      </c>
      <c r="W20" s="71">
        <f t="shared" si="0"/>
        <v>0.5790606793786419</v>
      </c>
    </row>
    <row r="21" spans="1:21" ht="15.7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</row>
    <row r="22" spans="1:21" ht="15.75">
      <c r="A22" s="214"/>
      <c r="B22" s="214"/>
      <c r="C22" s="214"/>
      <c r="D22" s="214"/>
      <c r="E22" s="214"/>
      <c r="F22" s="214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5.7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pans="1:21" ht="15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  <row r="25" spans="1:21" ht="15.75">
      <c r="A25" s="5"/>
      <c r="B25" s="5"/>
      <c r="C25" s="5"/>
      <c r="D25" s="5"/>
      <c r="E25" s="5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1:21" ht="18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 ht="18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8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 ht="18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</sheetData>
  <sheetProtection/>
  <mergeCells count="32">
    <mergeCell ref="W2:W7"/>
    <mergeCell ref="R5:R6"/>
    <mergeCell ref="S5:S6"/>
    <mergeCell ref="T5:T6"/>
    <mergeCell ref="U5:U6"/>
    <mergeCell ref="O2:P4"/>
    <mergeCell ref="Q2:R4"/>
    <mergeCell ref="S2:V4"/>
    <mergeCell ref="N5:N6"/>
    <mergeCell ref="O5:O6"/>
    <mergeCell ref="H2:J4"/>
    <mergeCell ref="K2:N4"/>
    <mergeCell ref="P5:P6"/>
    <mergeCell ref="Q5:Q6"/>
    <mergeCell ref="C5:C6"/>
    <mergeCell ref="I5:I6"/>
    <mergeCell ref="J5:J6"/>
    <mergeCell ref="B5:B6"/>
    <mergeCell ref="B2:E4"/>
    <mergeCell ref="F2:G4"/>
    <mergeCell ref="G5:G6"/>
    <mergeCell ref="H5:H6"/>
    <mergeCell ref="A2:A6"/>
    <mergeCell ref="K5:K6"/>
    <mergeCell ref="L5:L6"/>
    <mergeCell ref="M5:M6"/>
    <mergeCell ref="A22:F22"/>
    <mergeCell ref="A1:V1"/>
    <mergeCell ref="V5:V6"/>
    <mergeCell ref="F5:F6"/>
    <mergeCell ref="E5:E6"/>
    <mergeCell ref="D5:D6"/>
  </mergeCells>
  <printOptions/>
  <pageMargins left="1.1811023622047245" right="0.1968503937007874" top="0.31496062992125984" bottom="0.15748031496062992" header="0" footer="0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9"/>
  <sheetViews>
    <sheetView showZeros="0"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8" sqref="F8:G19"/>
    </sheetView>
  </sheetViews>
  <sheetFormatPr defaultColWidth="9.00390625" defaultRowHeight="12.75"/>
  <cols>
    <col min="1" max="1" width="4.125" style="1" customWidth="1"/>
    <col min="2" max="2" width="22.75390625" style="1" customWidth="1"/>
    <col min="3" max="3" width="19.125" style="1" customWidth="1"/>
    <col min="4" max="4" width="34.875" style="1" customWidth="1"/>
    <col min="5" max="5" width="39.625" style="1" customWidth="1"/>
    <col min="6" max="6" width="24.00390625" style="1" customWidth="1"/>
    <col min="7" max="7" width="17.25390625" style="1" customWidth="1"/>
    <col min="8" max="16384" width="9.125" style="1" customWidth="1"/>
  </cols>
  <sheetData>
    <row r="1" spans="1:7" ht="39.75" customHeight="1">
      <c r="A1" s="212" t="s">
        <v>114</v>
      </c>
      <c r="B1" s="212"/>
      <c r="C1" s="212"/>
      <c r="D1" s="212"/>
      <c r="E1" s="212"/>
      <c r="F1" s="212"/>
      <c r="G1" s="212"/>
    </row>
    <row r="2" spans="1:7" ht="12.75" customHeight="1">
      <c r="A2" s="213"/>
      <c r="B2" s="211" t="s">
        <v>21</v>
      </c>
      <c r="C2" s="211" t="s">
        <v>22</v>
      </c>
      <c r="D2" s="211" t="s">
        <v>18</v>
      </c>
      <c r="E2" s="211" t="s">
        <v>19</v>
      </c>
      <c r="F2" s="211" t="s">
        <v>65</v>
      </c>
      <c r="G2" s="211" t="s">
        <v>67</v>
      </c>
    </row>
    <row r="3" spans="1:7" ht="12.75" customHeight="1">
      <c r="A3" s="213"/>
      <c r="B3" s="211" t="s">
        <v>0</v>
      </c>
      <c r="C3" s="211"/>
      <c r="D3" s="211"/>
      <c r="E3" s="211"/>
      <c r="F3" s="211"/>
      <c r="G3" s="211"/>
    </row>
    <row r="4" spans="1:7" ht="15.75" customHeight="1">
      <c r="A4" s="213"/>
      <c r="B4" s="211" t="s">
        <v>1</v>
      </c>
      <c r="C4" s="211"/>
      <c r="D4" s="211"/>
      <c r="E4" s="211"/>
      <c r="F4" s="211"/>
      <c r="G4" s="211"/>
    </row>
    <row r="5" spans="1:7" ht="16.5" customHeight="1">
      <c r="A5" s="213"/>
      <c r="B5" s="211"/>
      <c r="C5" s="211"/>
      <c r="D5" s="211"/>
      <c r="E5" s="211"/>
      <c r="F5" s="211"/>
      <c r="G5" s="211"/>
    </row>
    <row r="6" spans="1:7" ht="85.5" customHeight="1">
      <c r="A6" s="213"/>
      <c r="B6" s="211"/>
      <c r="C6" s="211"/>
      <c r="D6" s="211"/>
      <c r="E6" s="211"/>
      <c r="F6" s="211"/>
      <c r="G6" s="211"/>
    </row>
    <row r="7" spans="1:8" ht="33.75" customHeight="1">
      <c r="A7" s="47"/>
      <c r="B7" s="47">
        <v>1</v>
      </c>
      <c r="C7" s="15">
        <v>2</v>
      </c>
      <c r="D7" s="15">
        <v>3</v>
      </c>
      <c r="E7" s="15" t="s">
        <v>37</v>
      </c>
      <c r="F7" s="15" t="s">
        <v>66</v>
      </c>
      <c r="G7" s="15" t="s">
        <v>68</v>
      </c>
      <c r="H7" s="7"/>
    </row>
    <row r="8" spans="1:33" s="74" customFormat="1" ht="19.5" customHeight="1">
      <c r="A8" s="73">
        <v>1</v>
      </c>
      <c r="B8" s="14" t="s">
        <v>14</v>
      </c>
      <c r="C8" s="106">
        <v>19152</v>
      </c>
      <c r="D8" s="150">
        <f>'отнош. дефицита'!D8</f>
        <v>233674.137</v>
      </c>
      <c r="E8" s="169">
        <f>C8/D8</f>
        <v>0.08196028985441381</v>
      </c>
      <c r="F8" s="189">
        <f aca="true" t="shared" si="0" ref="F8:F20">(0.165-E8)/0.165</f>
        <v>0.5032709705793103</v>
      </c>
      <c r="G8" s="189">
        <f>F8*0.05</f>
        <v>0.025163548528965515</v>
      </c>
      <c r="I8" s="80"/>
      <c r="J8" s="80"/>
      <c r="K8" s="80"/>
      <c r="L8" s="80"/>
      <c r="M8" s="80"/>
      <c r="N8" s="80"/>
      <c r="O8" s="80"/>
      <c r="P8" s="80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</row>
    <row r="9" spans="1:7" s="74" customFormat="1" ht="19.5" customHeight="1">
      <c r="A9" s="73">
        <f aca="true" t="shared" si="1" ref="A9:A15">A8+1</f>
        <v>2</v>
      </c>
      <c r="B9" s="75" t="s">
        <v>3</v>
      </c>
      <c r="C9" s="106">
        <v>1600</v>
      </c>
      <c r="D9" s="150">
        <f>'отнош. дефицита'!D9</f>
        <v>14810.9</v>
      </c>
      <c r="E9" s="169">
        <f aca="true" t="shared" si="2" ref="E9:E19">C9/D9</f>
        <v>0.1080285465434241</v>
      </c>
      <c r="F9" s="189">
        <f t="shared" si="0"/>
        <v>0.34528153610046003</v>
      </c>
      <c r="G9" s="189">
        <f aca="true" t="shared" si="3" ref="G9:G20">F9*0.05</f>
        <v>0.017264076805023003</v>
      </c>
    </row>
    <row r="10" spans="1:10" s="74" customFormat="1" ht="19.5" customHeight="1">
      <c r="A10" s="73">
        <f t="shared" si="1"/>
        <v>3</v>
      </c>
      <c r="B10" s="75" t="s">
        <v>4</v>
      </c>
      <c r="C10" s="106">
        <v>810</v>
      </c>
      <c r="D10" s="150">
        <f>'отнош. дефицита'!D10</f>
        <v>32610.451</v>
      </c>
      <c r="E10" s="169">
        <f t="shared" si="2"/>
        <v>0.024838662918216004</v>
      </c>
      <c r="F10" s="189">
        <f t="shared" si="0"/>
        <v>0.849462648980509</v>
      </c>
      <c r="G10" s="189">
        <f t="shared" si="3"/>
        <v>0.04247313244902545</v>
      </c>
      <c r="I10" s="82"/>
      <c r="J10" s="82"/>
    </row>
    <row r="11" spans="1:7" s="74" customFormat="1" ht="19.5" customHeight="1">
      <c r="A11" s="73">
        <f t="shared" si="1"/>
        <v>4</v>
      </c>
      <c r="B11" s="75" t="s">
        <v>5</v>
      </c>
      <c r="C11" s="106"/>
      <c r="D11" s="150">
        <f>'отнош. дефицита'!D11</f>
        <v>22553.12976</v>
      </c>
      <c r="E11" s="169">
        <f t="shared" si="2"/>
        <v>0</v>
      </c>
      <c r="F11" s="189">
        <f t="shared" si="0"/>
        <v>1</v>
      </c>
      <c r="G11" s="189">
        <f t="shared" si="3"/>
        <v>0.05</v>
      </c>
    </row>
    <row r="12" spans="1:8" s="74" customFormat="1" ht="19.5" customHeight="1">
      <c r="A12" s="73">
        <f t="shared" si="1"/>
        <v>5</v>
      </c>
      <c r="B12" s="75" t="s">
        <v>6</v>
      </c>
      <c r="C12" s="106">
        <v>0</v>
      </c>
      <c r="D12" s="150">
        <f>'отнош. дефицита'!D12</f>
        <v>36446.55</v>
      </c>
      <c r="E12" s="169">
        <f t="shared" si="2"/>
        <v>0</v>
      </c>
      <c r="F12" s="189">
        <f t="shared" si="0"/>
        <v>1</v>
      </c>
      <c r="G12" s="189">
        <f t="shared" si="3"/>
        <v>0.05</v>
      </c>
      <c r="H12" s="46"/>
    </row>
    <row r="13" spans="1:7" s="74" customFormat="1" ht="19.5" customHeight="1">
      <c r="A13" s="73">
        <f t="shared" si="1"/>
        <v>6</v>
      </c>
      <c r="B13" s="75" t="s">
        <v>7</v>
      </c>
      <c r="C13" s="106">
        <v>1280</v>
      </c>
      <c r="D13" s="150">
        <f>'отнош. дефицита'!D13</f>
        <v>18855.955</v>
      </c>
      <c r="E13" s="169">
        <f t="shared" si="2"/>
        <v>0.06788306399755409</v>
      </c>
      <c r="F13" s="189">
        <f t="shared" si="0"/>
        <v>0.5885874909239146</v>
      </c>
      <c r="G13" s="189">
        <f t="shared" si="3"/>
        <v>0.029429374546195732</v>
      </c>
    </row>
    <row r="14" spans="1:7" s="74" customFormat="1" ht="19.5" customHeight="1">
      <c r="A14" s="73">
        <f t="shared" si="1"/>
        <v>7</v>
      </c>
      <c r="B14" s="75" t="s">
        <v>8</v>
      </c>
      <c r="C14" s="106">
        <v>2120</v>
      </c>
      <c r="D14" s="150">
        <f>'отнош. дефицита'!D14</f>
        <v>18823.078</v>
      </c>
      <c r="E14" s="169">
        <f t="shared" si="2"/>
        <v>0.11262770095305347</v>
      </c>
      <c r="F14" s="189">
        <f t="shared" si="0"/>
        <v>0.3174078730117972</v>
      </c>
      <c r="G14" s="189">
        <f t="shared" si="3"/>
        <v>0.01587039365058986</v>
      </c>
    </row>
    <row r="15" spans="1:8" s="74" customFormat="1" ht="19.5" customHeight="1">
      <c r="A15" s="73">
        <f t="shared" si="1"/>
        <v>8</v>
      </c>
      <c r="B15" s="75" t="s">
        <v>9</v>
      </c>
      <c r="C15" s="106">
        <v>2530</v>
      </c>
      <c r="D15" s="150">
        <f>'отнош. дефицита'!D15</f>
        <v>15305.923</v>
      </c>
      <c r="E15" s="169">
        <f t="shared" si="2"/>
        <v>0.1652954872437291</v>
      </c>
      <c r="F15" s="190">
        <f t="shared" si="0"/>
        <v>-0.001790831780176384</v>
      </c>
      <c r="G15" s="189">
        <f t="shared" si="3"/>
        <v>-8.95415890088192E-05</v>
      </c>
      <c r="H15" s="82" t="s">
        <v>69</v>
      </c>
    </row>
    <row r="16" spans="1:8" s="74" customFormat="1" ht="19.5" customHeight="1">
      <c r="A16" s="73">
        <v>9</v>
      </c>
      <c r="B16" s="75" t="s">
        <v>10</v>
      </c>
      <c r="C16" s="130">
        <v>0</v>
      </c>
      <c r="D16" s="150">
        <f>'отнош. дефицита'!D16</f>
        <v>34057.53</v>
      </c>
      <c r="E16" s="169">
        <f t="shared" si="2"/>
        <v>0</v>
      </c>
      <c r="F16" s="189">
        <f t="shared" si="0"/>
        <v>1</v>
      </c>
      <c r="G16" s="189">
        <f t="shared" si="3"/>
        <v>0.05</v>
      </c>
      <c r="H16" s="46" t="s">
        <v>64</v>
      </c>
    </row>
    <row r="17" spans="1:7" s="74" customFormat="1" ht="19.5" customHeight="1">
      <c r="A17" s="73">
        <v>10</v>
      </c>
      <c r="B17" s="75" t="s">
        <v>11</v>
      </c>
      <c r="C17" s="130">
        <v>0</v>
      </c>
      <c r="D17" s="150">
        <f>'отнош. дефицита'!D17</f>
        <v>47126.1</v>
      </c>
      <c r="E17" s="124">
        <f t="shared" si="2"/>
        <v>0</v>
      </c>
      <c r="F17" s="189">
        <f t="shared" si="0"/>
        <v>1</v>
      </c>
      <c r="G17" s="189">
        <f t="shared" si="3"/>
        <v>0.05</v>
      </c>
    </row>
    <row r="18" spans="1:8" s="74" customFormat="1" ht="19.5" customHeight="1">
      <c r="A18" s="73">
        <v>11</v>
      </c>
      <c r="B18" s="75" t="s">
        <v>12</v>
      </c>
      <c r="C18" s="130">
        <v>0</v>
      </c>
      <c r="D18" s="150">
        <f>'отнош. дефицита'!D18</f>
        <v>245471.2</v>
      </c>
      <c r="E18" s="124">
        <f t="shared" si="2"/>
        <v>0</v>
      </c>
      <c r="F18" s="189">
        <f t="shared" si="0"/>
        <v>1</v>
      </c>
      <c r="G18" s="189">
        <f t="shared" si="3"/>
        <v>0.05</v>
      </c>
      <c r="H18" s="46"/>
    </row>
    <row r="19" spans="1:7" s="74" customFormat="1" ht="19.5" customHeight="1" thickBot="1">
      <c r="A19" s="76">
        <v>12</v>
      </c>
      <c r="B19" s="77" t="s">
        <v>13</v>
      </c>
      <c r="C19" s="133">
        <v>0</v>
      </c>
      <c r="D19" s="168">
        <f>'отнош. дефицита'!D19</f>
        <v>22295.405</v>
      </c>
      <c r="E19" s="124">
        <f t="shared" si="2"/>
        <v>0</v>
      </c>
      <c r="F19" s="191">
        <f t="shared" si="0"/>
        <v>1</v>
      </c>
      <c r="G19" s="191">
        <f t="shared" si="3"/>
        <v>0.05</v>
      </c>
    </row>
    <row r="20" spans="1:7" s="74" customFormat="1" ht="19.5" customHeight="1" thickBot="1">
      <c r="A20" s="83"/>
      <c r="B20" s="79" t="s">
        <v>2</v>
      </c>
      <c r="C20" s="107">
        <f>SUM(C8:C19)</f>
        <v>27492</v>
      </c>
      <c r="D20" s="107">
        <f>SUM(D8:D19)</f>
        <v>742030.35876</v>
      </c>
      <c r="E20" s="102">
        <f>C20/D20</f>
        <v>0.037049697058138736</v>
      </c>
      <c r="F20" s="188">
        <f t="shared" si="0"/>
        <v>0.7754563814658259</v>
      </c>
      <c r="G20" s="103">
        <f t="shared" si="3"/>
        <v>0.0387728190732913</v>
      </c>
    </row>
    <row r="21" spans="1:5" ht="15.75">
      <c r="A21" s="17"/>
      <c r="B21" s="17"/>
      <c r="C21" s="17"/>
      <c r="D21" s="17"/>
      <c r="E21" s="17"/>
    </row>
    <row r="22" spans="1:5" ht="15.75">
      <c r="A22" s="214" t="s">
        <v>20</v>
      </c>
      <c r="B22" s="214"/>
      <c r="C22" s="214"/>
      <c r="D22" s="214"/>
      <c r="E22" s="214"/>
    </row>
    <row r="23" spans="1:5" ht="15.75">
      <c r="A23" s="17"/>
      <c r="B23" s="17"/>
      <c r="C23" s="17"/>
      <c r="D23" s="17"/>
      <c r="E23" s="17"/>
    </row>
    <row r="24" spans="1:5" ht="15.75">
      <c r="A24" s="17"/>
      <c r="B24" s="17"/>
      <c r="C24" s="17"/>
      <c r="D24" s="17"/>
      <c r="E24" s="17"/>
    </row>
    <row r="25" spans="1:5" ht="15.75">
      <c r="A25" s="17"/>
      <c r="B25" s="5"/>
      <c r="C25" s="17"/>
      <c r="D25" s="17"/>
      <c r="E25" s="17"/>
    </row>
    <row r="26" spans="1:5" ht="18.75">
      <c r="A26" s="4"/>
      <c r="B26" s="4"/>
      <c r="C26" s="4"/>
      <c r="D26" s="4"/>
      <c r="E26" s="4"/>
    </row>
    <row r="27" spans="1:5" ht="18.75">
      <c r="A27" s="4"/>
      <c r="B27" s="4"/>
      <c r="C27" s="4"/>
      <c r="D27" s="4"/>
      <c r="E27" s="4"/>
    </row>
    <row r="28" spans="1:5" ht="18.75">
      <c r="A28" s="4"/>
      <c r="B28" s="4"/>
      <c r="C28" s="4"/>
      <c r="D28" s="4"/>
      <c r="E28" s="4"/>
    </row>
    <row r="29" spans="1:5" ht="18.75">
      <c r="A29" s="4"/>
      <c r="B29" s="4"/>
      <c r="C29" s="4"/>
      <c r="D29" s="4"/>
      <c r="E29" s="4"/>
    </row>
  </sheetData>
  <sheetProtection/>
  <mergeCells count="9">
    <mergeCell ref="G2:G6"/>
    <mergeCell ref="A1:G1"/>
    <mergeCell ref="D2:D6"/>
    <mergeCell ref="A2:A6"/>
    <mergeCell ref="A22:E22"/>
    <mergeCell ref="F2:F6"/>
    <mergeCell ref="B2:B6"/>
    <mergeCell ref="C2:C6"/>
    <mergeCell ref="E2:E6"/>
  </mergeCells>
  <dataValidations count="1">
    <dataValidation operator="notEqual" showErrorMessage="1" errorTitle="ОШИБКА" error="Должно быть целое положительное число!" sqref="D8:D19"/>
  </dataValidations>
  <printOptions/>
  <pageMargins left="1.1811023622047245" right="0.1968503937007874" top="0.31496062992125984" bottom="0.15748031496062992" header="0" footer="0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29"/>
  <sheetViews>
    <sheetView showZeros="0"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20" sqref="I20"/>
    </sheetView>
  </sheetViews>
  <sheetFormatPr defaultColWidth="9.00390625" defaultRowHeight="12.75"/>
  <cols>
    <col min="1" max="1" width="4.125" style="1" customWidth="1"/>
    <col min="2" max="2" width="22.00390625" style="1" customWidth="1"/>
    <col min="3" max="3" width="17.125" style="1" customWidth="1"/>
    <col min="4" max="4" width="16.625" style="1" customWidth="1"/>
    <col min="5" max="5" width="16.25390625" style="1" customWidth="1"/>
    <col min="6" max="6" width="25.625" style="1" customWidth="1"/>
    <col min="7" max="7" width="27.00390625" style="1" customWidth="1"/>
    <col min="8" max="8" width="20.375" style="1" customWidth="1"/>
    <col min="9" max="9" width="18.25390625" style="1" customWidth="1"/>
    <col min="10" max="16384" width="9.125" style="1" customWidth="1"/>
  </cols>
  <sheetData>
    <row r="1" spans="1:9" ht="59.25" customHeight="1" thickBot="1">
      <c r="A1" s="219" t="s">
        <v>23</v>
      </c>
      <c r="B1" s="219"/>
      <c r="C1" s="219"/>
      <c r="D1" s="219"/>
      <c r="E1" s="219"/>
      <c r="F1" s="219"/>
      <c r="G1" s="219"/>
      <c r="H1" s="219"/>
      <c r="I1" s="219"/>
    </row>
    <row r="2" spans="1:9" ht="12.75" customHeight="1">
      <c r="A2" s="220"/>
      <c r="B2" s="223" t="s">
        <v>21</v>
      </c>
      <c r="C2" s="223" t="s">
        <v>25</v>
      </c>
      <c r="D2" s="215" t="s">
        <v>26</v>
      </c>
      <c r="E2" s="215" t="s">
        <v>27</v>
      </c>
      <c r="F2" s="215" t="s">
        <v>24</v>
      </c>
      <c r="G2" s="216" t="s">
        <v>23</v>
      </c>
      <c r="H2" s="216" t="s">
        <v>65</v>
      </c>
      <c r="I2" s="216" t="s">
        <v>67</v>
      </c>
    </row>
    <row r="3" spans="1:9" ht="12.75" customHeight="1">
      <c r="A3" s="221"/>
      <c r="B3" s="211" t="s">
        <v>0</v>
      </c>
      <c r="C3" s="211"/>
      <c r="D3" s="205"/>
      <c r="E3" s="205"/>
      <c r="F3" s="205"/>
      <c r="G3" s="217"/>
      <c r="H3" s="217"/>
      <c r="I3" s="217"/>
    </row>
    <row r="4" spans="1:9" ht="15.75" customHeight="1">
      <c r="A4" s="221"/>
      <c r="B4" s="211" t="s">
        <v>1</v>
      </c>
      <c r="C4" s="211"/>
      <c r="D4" s="205"/>
      <c r="E4" s="205"/>
      <c r="F4" s="205"/>
      <c r="G4" s="217"/>
      <c r="H4" s="217"/>
      <c r="I4" s="217"/>
    </row>
    <row r="5" spans="1:9" ht="16.5" customHeight="1">
      <c r="A5" s="221"/>
      <c r="B5" s="211"/>
      <c r="C5" s="211"/>
      <c r="D5" s="205"/>
      <c r="E5" s="205"/>
      <c r="F5" s="205"/>
      <c r="G5" s="217"/>
      <c r="H5" s="217"/>
      <c r="I5" s="217"/>
    </row>
    <row r="6" spans="1:9" ht="142.5" customHeight="1">
      <c r="A6" s="222"/>
      <c r="B6" s="211"/>
      <c r="C6" s="211"/>
      <c r="D6" s="206"/>
      <c r="E6" s="206"/>
      <c r="F6" s="206"/>
      <c r="G6" s="218"/>
      <c r="H6" s="218"/>
      <c r="I6" s="218"/>
    </row>
    <row r="7" spans="1:10" ht="30" customHeight="1">
      <c r="A7" s="19"/>
      <c r="B7" s="13">
        <v>1</v>
      </c>
      <c r="C7" s="20">
        <v>2</v>
      </c>
      <c r="D7" s="21">
        <v>3</v>
      </c>
      <c r="E7" s="21">
        <v>4</v>
      </c>
      <c r="F7" s="21" t="s">
        <v>28</v>
      </c>
      <c r="G7" s="22" t="s">
        <v>46</v>
      </c>
      <c r="H7" s="15" t="s">
        <v>70</v>
      </c>
      <c r="I7" s="22" t="s">
        <v>71</v>
      </c>
      <c r="J7" s="7"/>
    </row>
    <row r="8" spans="1:35" s="2" customFormat="1" ht="18" customHeight="1">
      <c r="A8" s="23">
        <v>1</v>
      </c>
      <c r="B8" s="24" t="s">
        <v>14</v>
      </c>
      <c r="C8" s="18">
        <v>10</v>
      </c>
      <c r="D8" s="115">
        <f>'факт. расх.'!D8</f>
        <v>429112.6</v>
      </c>
      <c r="E8" s="18">
        <v>12.4</v>
      </c>
      <c r="F8" s="11">
        <f>D8-E8</f>
        <v>429100.19999999995</v>
      </c>
      <c r="G8" s="200">
        <f>C8/F8</f>
        <v>2.33045801423537E-05</v>
      </c>
      <c r="H8" s="48">
        <f aca="true" t="shared" si="0" ref="H8:H19">(0.000103-G8)/(0.000103-0)</f>
        <v>0.773741940365498</v>
      </c>
      <c r="I8" s="151">
        <f>H8*0.05</f>
        <v>0.038687097018274906</v>
      </c>
      <c r="K8" s="29"/>
      <c r="L8" s="29"/>
      <c r="M8" s="29"/>
      <c r="N8" s="29"/>
      <c r="O8" s="29"/>
      <c r="P8" s="29"/>
      <c r="Q8" s="29"/>
      <c r="R8" s="29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</row>
    <row r="9" spans="1:9" s="2" customFormat="1" ht="17.25" customHeight="1">
      <c r="A9" s="25">
        <f aca="true" t="shared" si="1" ref="A9:A15">A8+1</f>
        <v>2</v>
      </c>
      <c r="B9" s="26" t="s">
        <v>3</v>
      </c>
      <c r="C9" s="18">
        <v>1.83</v>
      </c>
      <c r="D9" s="115">
        <f>'факт. расх.'!D9</f>
        <v>26999.57</v>
      </c>
      <c r="E9" s="18">
        <v>204.9</v>
      </c>
      <c r="F9" s="11">
        <f aca="true" t="shared" si="2" ref="F9:F19">D9-E9</f>
        <v>26794.67</v>
      </c>
      <c r="G9" s="200">
        <f aca="true" t="shared" si="3" ref="G9:G20">C9/F9</f>
        <v>6.829716507051589E-05</v>
      </c>
      <c r="H9" s="48">
        <f t="shared" si="0"/>
        <v>0.3369207274707195</v>
      </c>
      <c r="I9" s="151">
        <f aca="true" t="shared" si="4" ref="I9:I20">H9*0.05</f>
        <v>0.016846036373535975</v>
      </c>
    </row>
    <row r="10" spans="1:12" s="2" customFormat="1" ht="29.25" customHeight="1">
      <c r="A10" s="25">
        <f t="shared" si="1"/>
        <v>3</v>
      </c>
      <c r="B10" s="26" t="s">
        <v>4</v>
      </c>
      <c r="C10" s="18">
        <v>0.78</v>
      </c>
      <c r="D10" s="115">
        <f>'факт. расх.'!D10</f>
        <v>54231.09</v>
      </c>
      <c r="E10" s="18">
        <v>204.9</v>
      </c>
      <c r="F10" s="11">
        <f t="shared" si="2"/>
        <v>54026.189999999995</v>
      </c>
      <c r="G10" s="200">
        <f t="shared" si="3"/>
        <v>1.4437442284936252E-05</v>
      </c>
      <c r="H10" s="48">
        <f t="shared" si="0"/>
        <v>0.8598306574278034</v>
      </c>
      <c r="I10" s="151">
        <f t="shared" si="4"/>
        <v>0.042991532871390174</v>
      </c>
      <c r="J10" s="46"/>
      <c r="K10" s="8"/>
      <c r="L10" s="8"/>
    </row>
    <row r="11" spans="1:10" s="2" customFormat="1" ht="16.5" customHeight="1">
      <c r="A11" s="25">
        <f t="shared" si="1"/>
        <v>4</v>
      </c>
      <c r="B11" s="26" t="s">
        <v>5</v>
      </c>
      <c r="C11" s="18">
        <v>2.48</v>
      </c>
      <c r="D11" s="115">
        <f>'факт. расх.'!D11</f>
        <v>46919.31</v>
      </c>
      <c r="E11" s="18">
        <v>204.9</v>
      </c>
      <c r="F11" s="11">
        <f t="shared" si="2"/>
        <v>46714.409999999996</v>
      </c>
      <c r="G11" s="200">
        <f t="shared" si="3"/>
        <v>5.308854377054104E-05</v>
      </c>
      <c r="H11" s="48">
        <f t="shared" si="0"/>
        <v>0.48457724494620347</v>
      </c>
      <c r="I11" s="151">
        <f t="shared" si="4"/>
        <v>0.024228862247310176</v>
      </c>
      <c r="J11" s="46"/>
    </row>
    <row r="12" spans="1:10" s="2" customFormat="1" ht="16.5" customHeight="1">
      <c r="A12" s="25">
        <f t="shared" si="1"/>
        <v>5</v>
      </c>
      <c r="B12" s="26" t="s">
        <v>6</v>
      </c>
      <c r="C12" s="18"/>
      <c r="D12" s="115">
        <f>'факт. расх.'!D12</f>
        <v>43627.47</v>
      </c>
      <c r="E12" s="18">
        <v>204.9</v>
      </c>
      <c r="F12" s="11">
        <f t="shared" si="2"/>
        <v>43422.57</v>
      </c>
      <c r="G12" s="200"/>
      <c r="H12" s="48">
        <f t="shared" si="0"/>
        <v>1</v>
      </c>
      <c r="I12" s="151">
        <f t="shared" si="4"/>
        <v>0.05</v>
      </c>
      <c r="J12" s="46" t="s">
        <v>64</v>
      </c>
    </row>
    <row r="13" spans="1:9" s="2" customFormat="1" ht="15.75" customHeight="1">
      <c r="A13" s="25">
        <f t="shared" si="1"/>
        <v>6</v>
      </c>
      <c r="B13" s="26" t="s">
        <v>7</v>
      </c>
      <c r="C13" s="18">
        <v>1.28</v>
      </c>
      <c r="D13" s="115">
        <f>'факт. расх.'!D13</f>
        <v>36100.99</v>
      </c>
      <c r="E13" s="18">
        <v>204.9</v>
      </c>
      <c r="F13" s="11">
        <f t="shared" si="2"/>
        <v>35896.09</v>
      </c>
      <c r="G13" s="200">
        <f t="shared" si="3"/>
        <v>3.565847979543176E-05</v>
      </c>
      <c r="H13" s="48">
        <f t="shared" si="0"/>
        <v>0.653801167034643</v>
      </c>
      <c r="I13" s="151">
        <f t="shared" si="4"/>
        <v>0.03269005835173215</v>
      </c>
    </row>
    <row r="14" spans="1:9" s="2" customFormat="1" ht="15.75">
      <c r="A14" s="25">
        <f t="shared" si="1"/>
        <v>7</v>
      </c>
      <c r="B14" s="26" t="s">
        <v>8</v>
      </c>
      <c r="C14" s="18">
        <v>3.7</v>
      </c>
      <c r="D14" s="115">
        <f>'факт. расх.'!D14</f>
        <v>46117.81</v>
      </c>
      <c r="E14" s="18">
        <v>409.7</v>
      </c>
      <c r="F14" s="11">
        <f t="shared" si="2"/>
        <v>45708.11</v>
      </c>
      <c r="G14" s="200">
        <f t="shared" si="3"/>
        <v>8.094843562772558E-05</v>
      </c>
      <c r="H14" s="48">
        <f t="shared" si="0"/>
        <v>0.21409285798324676</v>
      </c>
      <c r="I14" s="151">
        <f t="shared" si="4"/>
        <v>0.010704642899162339</v>
      </c>
    </row>
    <row r="15" spans="1:10" s="2" customFormat="1" ht="15.75" customHeight="1">
      <c r="A15" s="25">
        <f t="shared" si="1"/>
        <v>8</v>
      </c>
      <c r="B15" s="26" t="s">
        <v>9</v>
      </c>
      <c r="C15" s="18">
        <v>5.82</v>
      </c>
      <c r="D15" s="115">
        <f>'факт. расх.'!D15</f>
        <v>56641.15</v>
      </c>
      <c r="E15" s="18">
        <v>204.9</v>
      </c>
      <c r="F15" s="11">
        <f t="shared" si="2"/>
        <v>56436.25</v>
      </c>
      <c r="G15" s="200">
        <f t="shared" si="3"/>
        <v>0.00010312520764579503</v>
      </c>
      <c r="H15" s="151">
        <f t="shared" si="0"/>
        <v>-0.001215608211602315</v>
      </c>
      <c r="I15" s="151">
        <f t="shared" si="4"/>
        <v>-6.0780410580115755E-05</v>
      </c>
      <c r="J15" s="2" t="s">
        <v>69</v>
      </c>
    </row>
    <row r="16" spans="1:10" s="2" customFormat="1" ht="15.75" customHeight="1">
      <c r="A16" s="25">
        <v>9</v>
      </c>
      <c r="B16" s="26" t="s">
        <v>10</v>
      </c>
      <c r="C16" s="18"/>
      <c r="D16" s="115">
        <f>'факт. расх.'!D16</f>
        <v>49977.56</v>
      </c>
      <c r="E16" s="18">
        <v>204.9</v>
      </c>
      <c r="F16" s="11">
        <f t="shared" si="2"/>
        <v>49772.659999999996</v>
      </c>
      <c r="G16" s="200">
        <v>0</v>
      </c>
      <c r="H16" s="48">
        <f t="shared" si="0"/>
        <v>1</v>
      </c>
      <c r="I16" s="151">
        <f t="shared" si="4"/>
        <v>0.05</v>
      </c>
      <c r="J16" s="46"/>
    </row>
    <row r="17" spans="1:9" s="2" customFormat="1" ht="13.5" customHeight="1">
      <c r="A17" s="25">
        <v>10</v>
      </c>
      <c r="B17" s="26" t="s">
        <v>11</v>
      </c>
      <c r="C17" s="18"/>
      <c r="D17" s="115">
        <f>'факт. расх.'!D17</f>
        <v>58126.45</v>
      </c>
      <c r="E17" s="18">
        <v>409.7</v>
      </c>
      <c r="F17" s="11">
        <f t="shared" si="2"/>
        <v>57716.75</v>
      </c>
      <c r="G17" s="200">
        <v>0</v>
      </c>
      <c r="H17" s="48">
        <f t="shared" si="0"/>
        <v>1</v>
      </c>
      <c r="I17" s="151">
        <f t="shared" si="4"/>
        <v>0.05</v>
      </c>
    </row>
    <row r="18" spans="1:9" s="2" customFormat="1" ht="17.25" customHeight="1">
      <c r="A18" s="25">
        <v>11</v>
      </c>
      <c r="B18" s="26" t="s">
        <v>12</v>
      </c>
      <c r="C18" s="18"/>
      <c r="D18" s="115">
        <f>'факт. расх.'!D18</f>
        <v>264544.69</v>
      </c>
      <c r="E18" s="18">
        <v>409.7</v>
      </c>
      <c r="F18" s="11">
        <f t="shared" si="2"/>
        <v>264134.99</v>
      </c>
      <c r="G18" s="200"/>
      <c r="H18" s="48">
        <f t="shared" si="0"/>
        <v>1</v>
      </c>
      <c r="I18" s="151">
        <f t="shared" si="4"/>
        <v>0.05</v>
      </c>
    </row>
    <row r="19" spans="1:9" s="2" customFormat="1" ht="16.5" customHeight="1" thickBot="1">
      <c r="A19" s="25">
        <v>12</v>
      </c>
      <c r="B19" s="27" t="s">
        <v>13</v>
      </c>
      <c r="C19" s="32"/>
      <c r="D19" s="115">
        <f>'факт. расх.'!D19</f>
        <v>40095.69</v>
      </c>
      <c r="E19" s="18">
        <v>204.9</v>
      </c>
      <c r="F19" s="11">
        <f t="shared" si="2"/>
        <v>39890.79</v>
      </c>
      <c r="G19" s="201"/>
      <c r="H19" s="48">
        <f t="shared" si="0"/>
        <v>1</v>
      </c>
      <c r="I19" s="151">
        <f t="shared" si="4"/>
        <v>0.05</v>
      </c>
    </row>
    <row r="20" spans="1:9" s="2" customFormat="1" ht="30.75" customHeight="1" thickBot="1">
      <c r="A20" s="31"/>
      <c r="B20" s="33" t="s">
        <v>2</v>
      </c>
      <c r="C20" s="34">
        <f>SUM(C8:C19)</f>
        <v>25.89</v>
      </c>
      <c r="D20" s="34">
        <f>SUM(D8:D19)</f>
        <v>1152494.38</v>
      </c>
      <c r="E20" s="109">
        <f>SUM(E8:E19)</f>
        <v>2880.7000000000003</v>
      </c>
      <c r="F20" s="51">
        <f>SUM(F8:F19)</f>
        <v>1149613.68</v>
      </c>
      <c r="G20" s="202">
        <f t="shared" si="3"/>
        <v>2.2520608836178777E-05</v>
      </c>
      <c r="H20" s="104">
        <f>(0.000103-G20)/(0.000103-0.000014)</f>
        <v>0.9042628220654071</v>
      </c>
      <c r="I20" s="65">
        <f t="shared" si="4"/>
        <v>0.045213141103270356</v>
      </c>
    </row>
    <row r="21" spans="1:7" ht="15.75">
      <c r="A21" s="17"/>
      <c r="B21" s="17"/>
      <c r="C21" s="17"/>
      <c r="D21" s="17"/>
      <c r="E21" s="17"/>
      <c r="F21" s="134"/>
      <c r="G21" s="135"/>
    </row>
    <row r="22" spans="1:7" ht="15.75">
      <c r="A22" s="214" t="s">
        <v>20</v>
      </c>
      <c r="B22" s="214"/>
      <c r="C22" s="214"/>
      <c r="D22" s="214"/>
      <c r="E22" s="214"/>
      <c r="F22" s="214"/>
      <c r="G22" s="214"/>
    </row>
    <row r="23" spans="1:7" ht="15.75">
      <c r="A23" s="17"/>
      <c r="B23" s="17"/>
      <c r="C23" s="17"/>
      <c r="D23" s="17"/>
      <c r="E23" s="17"/>
      <c r="F23" s="17"/>
      <c r="G23" s="17"/>
    </row>
    <row r="24" spans="1:7" ht="15.75">
      <c r="A24" s="17"/>
      <c r="B24" s="17"/>
      <c r="C24" s="17"/>
      <c r="D24" s="17"/>
      <c r="E24" s="17"/>
      <c r="F24" s="17"/>
      <c r="G24" s="17"/>
    </row>
    <row r="25" spans="1:7" ht="15.75">
      <c r="A25" s="17"/>
      <c r="B25" s="5"/>
      <c r="C25" s="17"/>
      <c r="D25" s="17"/>
      <c r="E25" s="17"/>
      <c r="F25" s="17"/>
      <c r="G25" s="17"/>
    </row>
    <row r="26" spans="1:7" ht="18.75">
      <c r="A26" s="4"/>
      <c r="B26" s="4"/>
      <c r="C26" s="4"/>
      <c r="D26" s="4"/>
      <c r="E26" s="4"/>
      <c r="F26" s="4"/>
      <c r="G26" s="4"/>
    </row>
    <row r="27" spans="1:7" ht="18.75">
      <c r="A27" s="4"/>
      <c r="B27" s="4"/>
      <c r="C27" s="4"/>
      <c r="D27" s="4"/>
      <c r="E27" s="4"/>
      <c r="F27" s="4"/>
      <c r="G27" s="4"/>
    </row>
    <row r="28" spans="1:7" ht="18.75">
      <c r="A28" s="4"/>
      <c r="B28" s="4"/>
      <c r="C28" s="4"/>
      <c r="D28" s="4"/>
      <c r="E28" s="4"/>
      <c r="F28" s="4"/>
      <c r="G28" s="4"/>
    </row>
    <row r="29" spans="1:7" ht="18.75">
      <c r="A29" s="4"/>
      <c r="B29" s="4"/>
      <c r="C29" s="4"/>
      <c r="D29" s="4"/>
      <c r="E29" s="4"/>
      <c r="F29" s="4"/>
      <c r="G29" s="4"/>
    </row>
  </sheetData>
  <sheetProtection/>
  <mergeCells count="11">
    <mergeCell ref="C2:C6"/>
    <mergeCell ref="F2:F6"/>
    <mergeCell ref="I2:I6"/>
    <mergeCell ref="A1:I1"/>
    <mergeCell ref="G2:G6"/>
    <mergeCell ref="H2:H6"/>
    <mergeCell ref="A22:G22"/>
    <mergeCell ref="E2:E6"/>
    <mergeCell ref="D2:D6"/>
    <mergeCell ref="A2:A6"/>
    <mergeCell ref="B2:B6"/>
  </mergeCells>
  <dataValidations count="1">
    <dataValidation operator="notEqual" showErrorMessage="1" errorTitle="ОШИБКА" error="Должно быть целое положительное число!" sqref="C8:F8 D9:D19 F9:F19"/>
  </dataValidations>
  <printOptions/>
  <pageMargins left="1.1811023622047245" right="0.1968503937007874" top="0.31496062992125984" bottom="0.15748031496062992" header="0" footer="0"/>
  <pageSetup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9"/>
  <sheetViews>
    <sheetView showZeros="0"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20" sqref="F20"/>
    </sheetView>
  </sheetViews>
  <sheetFormatPr defaultColWidth="9.00390625" defaultRowHeight="12.75"/>
  <cols>
    <col min="1" max="1" width="4.125" style="1" customWidth="1"/>
    <col min="2" max="2" width="22.75390625" style="1" customWidth="1"/>
    <col min="3" max="3" width="19.125" style="1" customWidth="1"/>
    <col min="4" max="4" width="29.25390625" style="1" customWidth="1"/>
    <col min="5" max="5" width="36.125" style="1" customWidth="1"/>
    <col min="6" max="6" width="18.625" style="1" customWidth="1"/>
    <col min="7" max="7" width="19.625" style="1" customWidth="1"/>
    <col min="8" max="16384" width="9.125" style="1" customWidth="1"/>
  </cols>
  <sheetData>
    <row r="1" spans="1:7" ht="48.75" customHeight="1" thickBot="1">
      <c r="A1" s="219" t="s">
        <v>29</v>
      </c>
      <c r="B1" s="219"/>
      <c r="C1" s="219"/>
      <c r="D1" s="219"/>
      <c r="E1" s="219"/>
      <c r="F1" s="219"/>
      <c r="G1" s="219"/>
    </row>
    <row r="2" spans="1:7" ht="12.75" customHeight="1">
      <c r="A2" s="220"/>
      <c r="B2" s="223" t="s">
        <v>21</v>
      </c>
      <c r="C2" s="223" t="s">
        <v>30</v>
      </c>
      <c r="D2" s="215" t="s">
        <v>31</v>
      </c>
      <c r="E2" s="216" t="s">
        <v>29</v>
      </c>
      <c r="F2" s="216" t="s">
        <v>65</v>
      </c>
      <c r="G2" s="216" t="s">
        <v>67</v>
      </c>
    </row>
    <row r="3" spans="1:7" ht="12.75" customHeight="1">
      <c r="A3" s="221"/>
      <c r="B3" s="211" t="s">
        <v>0</v>
      </c>
      <c r="C3" s="211"/>
      <c r="D3" s="205"/>
      <c r="E3" s="217"/>
      <c r="F3" s="217"/>
      <c r="G3" s="217"/>
    </row>
    <row r="4" spans="1:7" ht="15.75" customHeight="1">
      <c r="A4" s="221"/>
      <c r="B4" s="211" t="s">
        <v>1</v>
      </c>
      <c r="C4" s="211"/>
      <c r="D4" s="205"/>
      <c r="E4" s="217"/>
      <c r="F4" s="217"/>
      <c r="G4" s="217"/>
    </row>
    <row r="5" spans="1:7" ht="16.5" customHeight="1">
      <c r="A5" s="221"/>
      <c r="B5" s="211"/>
      <c r="C5" s="211"/>
      <c r="D5" s="205"/>
      <c r="E5" s="217"/>
      <c r="F5" s="217"/>
      <c r="G5" s="217"/>
    </row>
    <row r="6" spans="1:7" ht="53.25" customHeight="1">
      <c r="A6" s="222"/>
      <c r="B6" s="211"/>
      <c r="C6" s="211"/>
      <c r="D6" s="206"/>
      <c r="E6" s="218"/>
      <c r="F6" s="218"/>
      <c r="G6" s="218"/>
    </row>
    <row r="7" spans="1:8" ht="54.75" customHeight="1">
      <c r="A7" s="19"/>
      <c r="B7" s="53">
        <v>1</v>
      </c>
      <c r="C7" s="20">
        <v>2</v>
      </c>
      <c r="D7" s="21">
        <v>3</v>
      </c>
      <c r="E7" s="22" t="s">
        <v>37</v>
      </c>
      <c r="F7" s="15" t="s">
        <v>66</v>
      </c>
      <c r="G7" s="22" t="s">
        <v>68</v>
      </c>
      <c r="H7" s="7"/>
    </row>
    <row r="8" spans="1:33" s="2" customFormat="1" ht="24.75" customHeight="1">
      <c r="A8" s="23">
        <v>1</v>
      </c>
      <c r="B8" s="24" t="s">
        <v>14</v>
      </c>
      <c r="C8" s="18">
        <v>18657.14</v>
      </c>
      <c r="D8" s="18">
        <v>19319</v>
      </c>
      <c r="E8" s="136">
        <f aca="true" t="shared" si="0" ref="E8:E20">C8/D8</f>
        <v>0.9657404627568714</v>
      </c>
      <c r="F8" s="50">
        <f aca="true" t="shared" si="1" ref="F8:F20">(1-E8)/(1-0.788)</f>
        <v>0.16160159076947445</v>
      </c>
      <c r="G8" s="48">
        <f aca="true" t="shared" si="2" ref="G8:G20">F8*0.05</f>
        <v>0.008080079538473723</v>
      </c>
      <c r="I8" s="29"/>
      <c r="J8" s="29"/>
      <c r="K8" s="29"/>
      <c r="L8" s="29"/>
      <c r="M8" s="29"/>
      <c r="N8" s="29"/>
      <c r="O8" s="29"/>
      <c r="P8" s="29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</row>
    <row r="9" spans="1:7" s="2" customFormat="1" ht="33.75" customHeight="1">
      <c r="A9" s="25">
        <f aca="true" t="shared" si="3" ref="A9:A15">A8+1</f>
        <v>2</v>
      </c>
      <c r="B9" s="26" t="s">
        <v>3</v>
      </c>
      <c r="C9" s="18">
        <v>4847.87</v>
      </c>
      <c r="D9" s="18">
        <v>4864</v>
      </c>
      <c r="E9" s="136">
        <f t="shared" si="0"/>
        <v>0.9966837993421053</v>
      </c>
      <c r="F9" s="50">
        <f t="shared" si="1"/>
        <v>0.01564245593346571</v>
      </c>
      <c r="G9" s="48">
        <f t="shared" si="2"/>
        <v>0.0007821227966732856</v>
      </c>
    </row>
    <row r="10" spans="1:10" s="2" customFormat="1" ht="29.25" customHeight="1">
      <c r="A10" s="25">
        <f t="shared" si="3"/>
        <v>3</v>
      </c>
      <c r="B10" s="26" t="s">
        <v>4</v>
      </c>
      <c r="C10" s="18">
        <v>5085.64</v>
      </c>
      <c r="D10" s="18">
        <v>5208</v>
      </c>
      <c r="E10" s="136">
        <f t="shared" si="0"/>
        <v>0.9765053763440861</v>
      </c>
      <c r="F10" s="50">
        <f t="shared" si="1"/>
        <v>0.11082369649016005</v>
      </c>
      <c r="G10" s="48">
        <f t="shared" si="2"/>
        <v>0.005541184824508003</v>
      </c>
      <c r="I10" s="8"/>
      <c r="J10" s="8"/>
    </row>
    <row r="11" spans="1:7" s="2" customFormat="1" ht="28.5" customHeight="1">
      <c r="A11" s="25">
        <f t="shared" si="3"/>
        <v>4</v>
      </c>
      <c r="B11" s="26" t="s">
        <v>5</v>
      </c>
      <c r="C11" s="18">
        <v>4936.77</v>
      </c>
      <c r="D11" s="18">
        <v>4981</v>
      </c>
      <c r="E11" s="136">
        <f t="shared" si="0"/>
        <v>0.9911202569765108</v>
      </c>
      <c r="F11" s="50">
        <f>(0.991-E11)/(1-0.788)</f>
        <v>-0.0005672498892021578</v>
      </c>
      <c r="G11" s="48">
        <f t="shared" si="2"/>
        <v>-2.8362494460107892E-05</v>
      </c>
    </row>
    <row r="12" spans="1:7" s="2" customFormat="1" ht="28.5" customHeight="1">
      <c r="A12" s="25">
        <f t="shared" si="3"/>
        <v>5</v>
      </c>
      <c r="B12" s="26" t="s">
        <v>6</v>
      </c>
      <c r="C12" s="18">
        <v>5437.45</v>
      </c>
      <c r="D12" s="18">
        <v>5434</v>
      </c>
      <c r="E12" s="193">
        <f t="shared" si="0"/>
        <v>1.000634891424365</v>
      </c>
      <c r="F12" s="50">
        <f t="shared" si="1"/>
        <v>-0.0029947708696462924</v>
      </c>
      <c r="G12" s="48">
        <f t="shared" si="2"/>
        <v>-0.00014973854348231464</v>
      </c>
    </row>
    <row r="13" spans="1:8" s="2" customFormat="1" ht="27.75" customHeight="1">
      <c r="A13" s="25">
        <f t="shared" si="3"/>
        <v>6</v>
      </c>
      <c r="B13" s="26" t="s">
        <v>7</v>
      </c>
      <c r="C13" s="18">
        <v>4281.16</v>
      </c>
      <c r="D13" s="18">
        <v>5434</v>
      </c>
      <c r="E13" s="136">
        <f t="shared" si="0"/>
        <v>0.7878468899521531</v>
      </c>
      <c r="F13" s="50">
        <f t="shared" si="1"/>
        <v>1.000722217206825</v>
      </c>
      <c r="G13" s="48">
        <f t="shared" si="2"/>
        <v>0.05003611086034126</v>
      </c>
      <c r="H13" s="29" t="s">
        <v>64</v>
      </c>
    </row>
    <row r="14" spans="1:7" s="2" customFormat="1" ht="15.75">
      <c r="A14" s="25">
        <f t="shared" si="3"/>
        <v>7</v>
      </c>
      <c r="B14" s="26" t="s">
        <v>8</v>
      </c>
      <c r="C14" s="18">
        <v>6407.18</v>
      </c>
      <c r="D14" s="18">
        <v>7373</v>
      </c>
      <c r="E14" s="136">
        <f t="shared" si="0"/>
        <v>0.8690058320900583</v>
      </c>
      <c r="F14" s="50">
        <f t="shared" si="1"/>
        <v>0.6178970184431212</v>
      </c>
      <c r="G14" s="48">
        <f t="shared" si="2"/>
        <v>0.03089485092215606</v>
      </c>
    </row>
    <row r="15" spans="1:7" s="2" customFormat="1" ht="22.5" customHeight="1">
      <c r="A15" s="25">
        <f t="shared" si="3"/>
        <v>8</v>
      </c>
      <c r="B15" s="26" t="s">
        <v>9</v>
      </c>
      <c r="C15" s="18">
        <v>4643.17</v>
      </c>
      <c r="D15" s="18">
        <v>4981</v>
      </c>
      <c r="E15" s="136">
        <f t="shared" si="0"/>
        <v>0.9321762698253363</v>
      </c>
      <c r="F15" s="50">
        <f t="shared" si="1"/>
        <v>0.31992325554086654</v>
      </c>
      <c r="G15" s="48">
        <f t="shared" si="2"/>
        <v>0.015996162777043327</v>
      </c>
    </row>
    <row r="16" spans="1:7" s="2" customFormat="1" ht="24.75" customHeight="1">
      <c r="A16" s="25">
        <v>9</v>
      </c>
      <c r="B16" s="26" t="s">
        <v>10</v>
      </c>
      <c r="C16" s="18">
        <v>5142.4</v>
      </c>
      <c r="D16" s="18">
        <v>5208</v>
      </c>
      <c r="E16" s="136">
        <f t="shared" si="0"/>
        <v>0.9874039938556067</v>
      </c>
      <c r="F16" s="50">
        <f t="shared" si="1"/>
        <v>0.059415123322609766</v>
      </c>
      <c r="G16" s="48">
        <f t="shared" si="2"/>
        <v>0.0029707561661304885</v>
      </c>
    </row>
    <row r="17" spans="1:7" s="2" customFormat="1" ht="30.75" customHeight="1">
      <c r="A17" s="25">
        <v>10</v>
      </c>
      <c r="B17" s="26" t="s">
        <v>11</v>
      </c>
      <c r="C17" s="18">
        <v>7352.36</v>
      </c>
      <c r="D17" s="18">
        <v>7628</v>
      </c>
      <c r="E17" s="136">
        <f t="shared" si="0"/>
        <v>0.9638647089669637</v>
      </c>
      <c r="F17" s="50">
        <f t="shared" si="1"/>
        <v>0.17044948600488802</v>
      </c>
      <c r="G17" s="48">
        <f t="shared" si="2"/>
        <v>0.008522474300244401</v>
      </c>
    </row>
    <row r="18" spans="1:7" s="2" customFormat="1" ht="28.5" customHeight="1">
      <c r="A18" s="25">
        <v>11</v>
      </c>
      <c r="B18" s="26" t="s">
        <v>12</v>
      </c>
      <c r="C18" s="18">
        <v>7056.39</v>
      </c>
      <c r="D18" s="18">
        <v>7119</v>
      </c>
      <c r="E18" s="136">
        <f t="shared" si="0"/>
        <v>0.9912052254530132</v>
      </c>
      <c r="F18" s="50">
        <f t="shared" si="1"/>
        <v>0.04148478559899458</v>
      </c>
      <c r="G18" s="48">
        <f t="shared" si="2"/>
        <v>0.002074239279949729</v>
      </c>
    </row>
    <row r="19" spans="1:8" s="2" customFormat="1" ht="22.5" customHeight="1" thickBot="1">
      <c r="A19" s="25">
        <v>12</v>
      </c>
      <c r="B19" s="27" t="s">
        <v>13</v>
      </c>
      <c r="C19" s="32">
        <v>5222.28</v>
      </c>
      <c r="D19" s="32">
        <v>5208</v>
      </c>
      <c r="E19" s="192">
        <f t="shared" si="0"/>
        <v>1.002741935483871</v>
      </c>
      <c r="F19" s="138">
        <f t="shared" si="1"/>
        <v>-0.012933657942787344</v>
      </c>
      <c r="G19" s="50">
        <f t="shared" si="2"/>
        <v>-0.0006466828971393672</v>
      </c>
      <c r="H19" s="2" t="s">
        <v>69</v>
      </c>
    </row>
    <row r="20" spans="1:7" s="2" customFormat="1" ht="30.75" customHeight="1" thickBot="1">
      <c r="A20" s="31"/>
      <c r="B20" s="33" t="s">
        <v>2</v>
      </c>
      <c r="C20" s="34">
        <f>SUM(C8:C19)</f>
        <v>79069.81</v>
      </c>
      <c r="D20" s="35">
        <f>SUM(D8:D19)</f>
        <v>82757</v>
      </c>
      <c r="E20" s="70">
        <f t="shared" si="0"/>
        <v>0.9554455816426405</v>
      </c>
      <c r="F20" s="104">
        <f t="shared" si="1"/>
        <v>0.2101623507422619</v>
      </c>
      <c r="G20" s="65">
        <f t="shared" si="2"/>
        <v>0.010508117537113094</v>
      </c>
    </row>
    <row r="21" spans="1:5" ht="15.75">
      <c r="A21" s="17"/>
      <c r="B21" s="17"/>
      <c r="C21" s="17"/>
      <c r="D21" s="17"/>
      <c r="E21" s="17"/>
    </row>
    <row r="22" spans="1:5" ht="15.75">
      <c r="A22" s="214" t="s">
        <v>20</v>
      </c>
      <c r="B22" s="214"/>
      <c r="C22" s="214"/>
      <c r="D22" s="214"/>
      <c r="E22" s="214"/>
    </row>
    <row r="23" spans="1:5" ht="15.75">
      <c r="A23" s="17"/>
      <c r="B23" s="17"/>
      <c r="C23" s="17"/>
      <c r="D23" s="17"/>
      <c r="E23" s="17"/>
    </row>
    <row r="24" spans="1:5" ht="15.75">
      <c r="A24" s="17"/>
      <c r="B24" s="17"/>
      <c r="C24" s="17"/>
      <c r="D24" s="17"/>
      <c r="E24" s="17"/>
    </row>
    <row r="25" spans="1:5" ht="15.75">
      <c r="A25" s="17"/>
      <c r="B25" s="5"/>
      <c r="C25" s="17"/>
      <c r="D25" s="17"/>
      <c r="E25" s="17"/>
    </row>
    <row r="26" spans="1:5" ht="18.75">
      <c r="A26" s="4"/>
      <c r="B26" s="4"/>
      <c r="C26" s="4"/>
      <c r="D26" s="4"/>
      <c r="E26" s="4"/>
    </row>
    <row r="27" spans="1:5" ht="18.75">
      <c r="A27" s="4"/>
      <c r="B27" s="4"/>
      <c r="C27" s="4"/>
      <c r="D27" s="4"/>
      <c r="E27" s="4"/>
    </row>
    <row r="28" spans="1:5" ht="18.75">
      <c r="A28" s="4"/>
      <c r="B28" s="4"/>
      <c r="C28" s="4"/>
      <c r="D28" s="4"/>
      <c r="E28" s="4"/>
    </row>
    <row r="29" spans="1:5" ht="18.75">
      <c r="A29" s="4"/>
      <c r="B29" s="4"/>
      <c r="C29" s="4"/>
      <c r="D29" s="4"/>
      <c r="E29" s="4"/>
    </row>
  </sheetData>
  <sheetProtection/>
  <mergeCells count="9">
    <mergeCell ref="A1:G1"/>
    <mergeCell ref="F2:F6"/>
    <mergeCell ref="A22:E22"/>
    <mergeCell ref="A2:A6"/>
    <mergeCell ref="B2:B6"/>
    <mergeCell ref="C2:C6"/>
    <mergeCell ref="D2:D6"/>
    <mergeCell ref="E2:E6"/>
    <mergeCell ref="G2:G6"/>
  </mergeCells>
  <dataValidations count="1">
    <dataValidation operator="notEqual" showErrorMessage="1" errorTitle="ОШИБКА" error="Должно быть целое положительное число!" sqref="C8:D8"/>
  </dataValidations>
  <printOptions/>
  <pageMargins left="1.1811023622047245" right="0.1968503937007874" top="0.31496062992125984" bottom="0.15748031496062992" header="0" footer="0"/>
  <pageSetup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29"/>
  <sheetViews>
    <sheetView showZeros="0"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18" sqref="F18"/>
    </sheetView>
  </sheetViews>
  <sheetFormatPr defaultColWidth="9.00390625" defaultRowHeight="12.75"/>
  <cols>
    <col min="1" max="1" width="4.125" style="1" customWidth="1"/>
    <col min="2" max="2" width="22.75390625" style="1" customWidth="1"/>
    <col min="3" max="3" width="27.625" style="1" customWidth="1"/>
    <col min="4" max="4" width="30.875" style="1" customWidth="1"/>
    <col min="5" max="5" width="29.375" style="1" customWidth="1"/>
    <col min="6" max="6" width="19.125" style="1" customWidth="1"/>
    <col min="7" max="7" width="20.125" style="1" customWidth="1"/>
    <col min="8" max="16384" width="9.125" style="1" customWidth="1"/>
  </cols>
  <sheetData>
    <row r="1" spans="1:7" ht="27" customHeight="1">
      <c r="A1" s="212" t="s">
        <v>32</v>
      </c>
      <c r="B1" s="212"/>
      <c r="C1" s="212"/>
      <c r="D1" s="212"/>
      <c r="E1" s="212"/>
      <c r="F1" s="212"/>
      <c r="G1" s="212"/>
    </row>
    <row r="2" spans="1:7" ht="12.75" customHeight="1">
      <c r="A2" s="213"/>
      <c r="B2" s="211" t="s">
        <v>21</v>
      </c>
      <c r="C2" s="211" t="s">
        <v>115</v>
      </c>
      <c r="D2" s="211" t="s">
        <v>116</v>
      </c>
      <c r="E2" s="211" t="s">
        <v>32</v>
      </c>
      <c r="F2" s="211" t="s">
        <v>65</v>
      </c>
      <c r="G2" s="211" t="s">
        <v>67</v>
      </c>
    </row>
    <row r="3" spans="1:7" ht="12.75" customHeight="1">
      <c r="A3" s="213"/>
      <c r="B3" s="211" t="s">
        <v>0</v>
      </c>
      <c r="C3" s="211"/>
      <c r="D3" s="211"/>
      <c r="E3" s="211"/>
      <c r="F3" s="211"/>
      <c r="G3" s="211"/>
    </row>
    <row r="4" spans="1:7" ht="15.75" customHeight="1">
      <c r="A4" s="213"/>
      <c r="B4" s="211" t="s">
        <v>1</v>
      </c>
      <c r="C4" s="211"/>
      <c r="D4" s="211"/>
      <c r="E4" s="211"/>
      <c r="F4" s="211"/>
      <c r="G4" s="211"/>
    </row>
    <row r="5" spans="1:7" ht="16.5" customHeight="1">
      <c r="A5" s="213"/>
      <c r="B5" s="211"/>
      <c r="C5" s="211"/>
      <c r="D5" s="211"/>
      <c r="E5" s="211"/>
      <c r="F5" s="211"/>
      <c r="G5" s="211"/>
    </row>
    <row r="6" spans="1:7" ht="41.25" customHeight="1">
      <c r="A6" s="213"/>
      <c r="B6" s="211"/>
      <c r="C6" s="211"/>
      <c r="D6" s="211"/>
      <c r="E6" s="211"/>
      <c r="F6" s="211"/>
      <c r="G6" s="211"/>
    </row>
    <row r="7" spans="1:8" s="85" customFormat="1" ht="37.5" customHeight="1">
      <c r="A7" s="47"/>
      <c r="B7" s="47">
        <v>1</v>
      </c>
      <c r="C7" s="15">
        <v>2</v>
      </c>
      <c r="D7" s="15">
        <v>3</v>
      </c>
      <c r="E7" s="15" t="s">
        <v>45</v>
      </c>
      <c r="F7" s="15" t="s">
        <v>72</v>
      </c>
      <c r="G7" s="15" t="s">
        <v>68</v>
      </c>
      <c r="H7" s="84"/>
    </row>
    <row r="8" spans="1:33" s="74" customFormat="1" ht="22.5" customHeight="1">
      <c r="A8" s="73">
        <v>1</v>
      </c>
      <c r="B8" s="14" t="s">
        <v>14</v>
      </c>
      <c r="C8" s="124">
        <v>0</v>
      </c>
      <c r="D8" s="124">
        <v>0</v>
      </c>
      <c r="E8" s="124">
        <v>0</v>
      </c>
      <c r="F8" s="189">
        <f>(E8-0)/1161.698</f>
        <v>0</v>
      </c>
      <c r="G8" s="125">
        <f>F8*0.05</f>
        <v>0</v>
      </c>
      <c r="H8" s="80" t="s">
        <v>64</v>
      </c>
      <c r="I8" s="80"/>
      <c r="J8" s="80"/>
      <c r="K8" s="80"/>
      <c r="L8" s="80"/>
      <c r="M8" s="80"/>
      <c r="N8" s="80"/>
      <c r="O8" s="80"/>
      <c r="P8" s="80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</row>
    <row r="9" spans="1:8" s="74" customFormat="1" ht="22.5" customHeight="1">
      <c r="A9" s="73">
        <f aca="true" t="shared" si="0" ref="A9:A15">A8+1</f>
        <v>2</v>
      </c>
      <c r="B9" s="75" t="s">
        <v>3</v>
      </c>
      <c r="C9" s="169">
        <f>9518.1/(29324.41607-204.9)</f>
        <v>0.32686326163936147</v>
      </c>
      <c r="D9" s="169">
        <f>885.8/(31671.83023-189.8)</f>
        <v>0.028136686024648416</v>
      </c>
      <c r="E9" s="169">
        <f>C9/D9*100</f>
        <v>1161.6977967946236</v>
      </c>
      <c r="F9" s="189">
        <f>(E9-0)/1161.698</f>
        <v>0.9999998250789994</v>
      </c>
      <c r="G9" s="189">
        <f aca="true" t="shared" si="1" ref="G9:G19">F9*0.05</f>
        <v>0.04999999125394997</v>
      </c>
      <c r="H9" s="74" t="s">
        <v>69</v>
      </c>
    </row>
    <row r="10" spans="1:10" s="74" customFormat="1" ht="22.5" customHeight="1">
      <c r="A10" s="73">
        <f t="shared" si="0"/>
        <v>3</v>
      </c>
      <c r="B10" s="75" t="s">
        <v>4</v>
      </c>
      <c r="C10" s="169">
        <v>0</v>
      </c>
      <c r="D10" s="169">
        <v>0</v>
      </c>
      <c r="E10" s="169"/>
      <c r="F10" s="189">
        <f>(E10-0)/1161.698</f>
        <v>0</v>
      </c>
      <c r="G10" s="189">
        <f t="shared" si="1"/>
        <v>0</v>
      </c>
      <c r="I10" s="82"/>
      <c r="J10" s="82"/>
    </row>
    <row r="11" spans="1:7" s="74" customFormat="1" ht="22.5" customHeight="1">
      <c r="A11" s="73">
        <f t="shared" si="0"/>
        <v>4</v>
      </c>
      <c r="B11" s="75" t="s">
        <v>5</v>
      </c>
      <c r="C11" s="169">
        <v>0</v>
      </c>
      <c r="D11" s="169">
        <v>0</v>
      </c>
      <c r="E11" s="169">
        <v>0</v>
      </c>
      <c r="F11" s="189">
        <f aca="true" t="shared" si="2" ref="F11:F19">(E11-0)/81.799</f>
        <v>0</v>
      </c>
      <c r="G11" s="189">
        <f t="shared" si="1"/>
        <v>0</v>
      </c>
    </row>
    <row r="12" spans="1:7" s="74" customFormat="1" ht="22.5" customHeight="1">
      <c r="A12" s="73">
        <f t="shared" si="0"/>
        <v>5</v>
      </c>
      <c r="B12" s="75" t="s">
        <v>6</v>
      </c>
      <c r="C12" s="169">
        <v>0</v>
      </c>
      <c r="D12" s="169">
        <v>0</v>
      </c>
      <c r="E12" s="169">
        <v>0</v>
      </c>
      <c r="F12" s="189">
        <f t="shared" si="2"/>
        <v>0</v>
      </c>
      <c r="G12" s="189">
        <f t="shared" si="1"/>
        <v>0</v>
      </c>
    </row>
    <row r="13" spans="1:7" s="74" customFormat="1" ht="22.5" customHeight="1">
      <c r="A13" s="73">
        <f t="shared" si="0"/>
        <v>6</v>
      </c>
      <c r="B13" s="75" t="s">
        <v>7</v>
      </c>
      <c r="C13" s="169">
        <f>5425.2/(35430.9743-204.9)</f>
        <v>0.15401091685087373</v>
      </c>
      <c r="D13" s="169">
        <f>1215.2/(44857.39165-189.8)</f>
        <v>0.027205406763854488</v>
      </c>
      <c r="E13" s="169">
        <f>C13/D13*100</f>
        <v>566.1040769862517</v>
      </c>
      <c r="F13" s="189">
        <f>(E13-0)/1161.698</f>
        <v>0.4873074387545228</v>
      </c>
      <c r="G13" s="189">
        <f t="shared" si="1"/>
        <v>0.024365371937726144</v>
      </c>
    </row>
    <row r="14" spans="1:7" s="74" customFormat="1" ht="22.5" customHeight="1">
      <c r="A14" s="73">
        <f t="shared" si="0"/>
        <v>7</v>
      </c>
      <c r="B14" s="75" t="s">
        <v>8</v>
      </c>
      <c r="C14" s="169">
        <f>14554/(45318.28921-409.7)</f>
        <v>0.324080543522378</v>
      </c>
      <c r="D14" s="169">
        <f>8029/(59653.56361-379.3)</f>
        <v>0.13545507798844167</v>
      </c>
      <c r="E14" s="169">
        <f>C14/D14*100</f>
        <v>239.25315191951063</v>
      </c>
      <c r="F14" s="189">
        <f>(E14-0)/1161.698</f>
        <v>0.20595124715675728</v>
      </c>
      <c r="G14" s="189">
        <f t="shared" si="1"/>
        <v>0.010297562357837865</v>
      </c>
    </row>
    <row r="15" spans="1:7" s="74" customFormat="1" ht="22.5" customHeight="1">
      <c r="A15" s="73">
        <f t="shared" si="0"/>
        <v>8</v>
      </c>
      <c r="B15" s="75" t="s">
        <v>9</v>
      </c>
      <c r="C15" s="169">
        <f>14076.4/(55647.33455-204.9)</f>
        <v>0.25389216967565503</v>
      </c>
      <c r="D15" s="169">
        <f>3679.6/(47983.35999-189.8)</f>
        <v>0.07698945215150106</v>
      </c>
      <c r="E15" s="169">
        <f>C15/D15*100</f>
        <v>329.7752647674931</v>
      </c>
      <c r="F15" s="189">
        <f>(E15-0)/1161.698</f>
        <v>0.28387348929540474</v>
      </c>
      <c r="G15" s="189">
        <f t="shared" si="1"/>
        <v>0.014193674464770238</v>
      </c>
    </row>
    <row r="16" spans="1:8" s="74" customFormat="1" ht="22.5" customHeight="1">
      <c r="A16" s="73">
        <v>9</v>
      </c>
      <c r="B16" s="75" t="s">
        <v>10</v>
      </c>
      <c r="C16" s="169">
        <v>0</v>
      </c>
      <c r="D16" s="169">
        <v>0</v>
      </c>
      <c r="E16" s="169">
        <v>0</v>
      </c>
      <c r="F16" s="189">
        <f t="shared" si="2"/>
        <v>0</v>
      </c>
      <c r="G16" s="189">
        <f t="shared" si="1"/>
        <v>0</v>
      </c>
      <c r="H16" s="80"/>
    </row>
    <row r="17" spans="1:8" s="74" customFormat="1" ht="22.5" customHeight="1">
      <c r="A17" s="73">
        <v>10</v>
      </c>
      <c r="B17" s="75" t="s">
        <v>11</v>
      </c>
      <c r="C17" s="169">
        <v>0</v>
      </c>
      <c r="D17" s="169">
        <v>0</v>
      </c>
      <c r="E17" s="169">
        <v>0</v>
      </c>
      <c r="F17" s="189">
        <f t="shared" si="2"/>
        <v>0</v>
      </c>
      <c r="G17" s="189">
        <f t="shared" si="1"/>
        <v>0</v>
      </c>
      <c r="H17" s="80"/>
    </row>
    <row r="18" spans="1:8" s="74" customFormat="1" ht="22.5" customHeight="1">
      <c r="A18" s="73">
        <v>11</v>
      </c>
      <c r="B18" s="75" t="s">
        <v>12</v>
      </c>
      <c r="C18" s="169">
        <v>0</v>
      </c>
      <c r="D18" s="169">
        <v>0</v>
      </c>
      <c r="E18" s="124">
        <v>0</v>
      </c>
      <c r="F18" s="125">
        <f t="shared" si="2"/>
        <v>0</v>
      </c>
      <c r="G18" s="125">
        <f t="shared" si="1"/>
        <v>0</v>
      </c>
      <c r="H18" s="80"/>
    </row>
    <row r="19" spans="1:7" s="74" customFormat="1" ht="22.5" customHeight="1" thickBot="1">
      <c r="A19" s="76">
        <v>12</v>
      </c>
      <c r="B19" s="77" t="s">
        <v>13</v>
      </c>
      <c r="C19" s="169"/>
      <c r="D19" s="169">
        <f>604/(44914.3135-189.8)</f>
        <v>0.013504898158366778</v>
      </c>
      <c r="E19" s="124">
        <f>C19/D19*100</f>
        <v>0</v>
      </c>
      <c r="F19" s="126">
        <f t="shared" si="2"/>
        <v>0</v>
      </c>
      <c r="G19" s="125">
        <f t="shared" si="1"/>
        <v>0</v>
      </c>
    </row>
    <row r="20" spans="1:7" s="74" customFormat="1" ht="22.5" customHeight="1" thickBot="1">
      <c r="A20" s="83"/>
      <c r="B20" s="79" t="s">
        <v>2</v>
      </c>
      <c r="C20" s="110">
        <f>SUM(C8:C19)</f>
        <v>1.0588468916882683</v>
      </c>
      <c r="D20" s="110">
        <f>SUM(D8:D19)</f>
        <v>0.2812915210868124</v>
      </c>
      <c r="E20" s="102">
        <f>C20/D20*100</f>
        <v>376.4233232474456</v>
      </c>
      <c r="F20" s="194">
        <f>(E20-0)/1161.698</f>
        <v>0.32402855410566733</v>
      </c>
      <c r="G20" s="103">
        <f>F20*0.05</f>
        <v>0.016201427705283367</v>
      </c>
    </row>
    <row r="21" spans="1:5" ht="15.75">
      <c r="A21" s="17"/>
      <c r="B21" s="17"/>
      <c r="C21" s="17"/>
      <c r="D21" s="17"/>
      <c r="E21" s="17"/>
    </row>
    <row r="22" spans="1:5" ht="15.75">
      <c r="A22" s="214" t="s">
        <v>20</v>
      </c>
      <c r="B22" s="214"/>
      <c r="C22" s="214"/>
      <c r="D22" s="214"/>
      <c r="E22" s="214"/>
    </row>
    <row r="23" spans="1:5" ht="15.75">
      <c r="A23" s="17"/>
      <c r="B23" s="17"/>
      <c r="C23" s="17"/>
      <c r="D23" s="17"/>
      <c r="E23" s="17"/>
    </row>
    <row r="24" spans="1:5" ht="15.75">
      <c r="A24" s="17"/>
      <c r="B24" s="17"/>
      <c r="C24" s="17"/>
      <c r="D24" s="17"/>
      <c r="E24" s="17"/>
    </row>
    <row r="25" spans="1:5" ht="15.75">
      <c r="A25" s="17"/>
      <c r="B25" s="5"/>
      <c r="C25" s="17"/>
      <c r="D25" s="17"/>
      <c r="E25" s="17"/>
    </row>
    <row r="26" spans="1:5" ht="18.75">
      <c r="A26" s="4"/>
      <c r="B26" s="4"/>
      <c r="C26" s="4"/>
      <c r="D26" s="4"/>
      <c r="E26" s="4"/>
    </row>
    <row r="27" spans="1:5" ht="18.75">
      <c r="A27" s="4"/>
      <c r="B27" s="4"/>
      <c r="C27" s="4"/>
      <c r="D27" s="4"/>
      <c r="E27" s="4"/>
    </row>
    <row r="28" spans="1:5" ht="18.75">
      <c r="A28" s="4"/>
      <c r="B28" s="4"/>
      <c r="C28" s="4"/>
      <c r="D28" s="4"/>
      <c r="E28" s="4"/>
    </row>
    <row r="29" spans="1:5" ht="18.75">
      <c r="A29" s="4"/>
      <c r="B29" s="4"/>
      <c r="C29" s="4"/>
      <c r="D29" s="4"/>
      <c r="E29" s="4"/>
    </row>
  </sheetData>
  <sheetProtection/>
  <mergeCells count="9">
    <mergeCell ref="G2:G6"/>
    <mergeCell ref="A1:G1"/>
    <mergeCell ref="F2:F6"/>
    <mergeCell ref="A22:E22"/>
    <mergeCell ref="A2:A6"/>
    <mergeCell ref="B2:B6"/>
    <mergeCell ref="C2:C6"/>
    <mergeCell ref="D2:D6"/>
    <mergeCell ref="E2:E6"/>
  </mergeCells>
  <dataValidations count="1">
    <dataValidation operator="notEqual" showErrorMessage="1" errorTitle="ОШИБКА" error="Должно быть целое положительное число!" sqref="C8:D19"/>
  </dataValidations>
  <printOptions/>
  <pageMargins left="1.1811023622047245" right="0.1968503937007874" top="0.31496062992125984" bottom="0.15748031496062992" header="0" footer="0"/>
  <pageSetup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29"/>
  <sheetViews>
    <sheetView showZeros="0" view="pageBreakPreview" zoomScaleSheetLayoutView="100" zoomScalePageLayoutView="0" workbookViewId="0" topLeftCell="A1">
      <pane xSplit="2" ySplit="7" topLeftCell="C1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8" sqref="F8"/>
    </sheetView>
  </sheetViews>
  <sheetFormatPr defaultColWidth="9.00390625" defaultRowHeight="12.75"/>
  <cols>
    <col min="1" max="1" width="4.125" style="1" customWidth="1"/>
    <col min="2" max="2" width="22.75390625" style="1" customWidth="1"/>
    <col min="3" max="3" width="19.125" style="1" customWidth="1"/>
    <col min="4" max="4" width="37.75390625" style="1" customWidth="1"/>
    <col min="5" max="5" width="29.375" style="1" customWidth="1"/>
    <col min="6" max="6" width="20.125" style="1" customWidth="1"/>
    <col min="7" max="7" width="19.75390625" style="1" customWidth="1"/>
    <col min="8" max="16384" width="9.125" style="1" customWidth="1"/>
  </cols>
  <sheetData>
    <row r="1" spans="1:7" ht="33" customHeight="1" thickBot="1">
      <c r="A1" s="219" t="s">
        <v>33</v>
      </c>
      <c r="B1" s="219"/>
      <c r="C1" s="219"/>
      <c r="D1" s="219"/>
      <c r="E1" s="219"/>
      <c r="F1" s="219"/>
      <c r="G1" s="219"/>
    </row>
    <row r="2" spans="1:7" ht="12.75" customHeight="1">
      <c r="A2" s="220"/>
      <c r="B2" s="223" t="s">
        <v>21</v>
      </c>
      <c r="C2" s="223" t="s">
        <v>34</v>
      </c>
      <c r="D2" s="215" t="s">
        <v>24</v>
      </c>
      <c r="E2" s="216" t="s">
        <v>33</v>
      </c>
      <c r="F2" s="216" t="s">
        <v>65</v>
      </c>
      <c r="G2" s="216" t="s">
        <v>67</v>
      </c>
    </row>
    <row r="3" spans="1:7" ht="12.75" customHeight="1">
      <c r="A3" s="221"/>
      <c r="B3" s="211" t="s">
        <v>0</v>
      </c>
      <c r="C3" s="211"/>
      <c r="D3" s="205"/>
      <c r="E3" s="217"/>
      <c r="F3" s="217"/>
      <c r="G3" s="217"/>
    </row>
    <row r="4" spans="1:7" ht="15.75" customHeight="1">
      <c r="A4" s="221"/>
      <c r="B4" s="211" t="s">
        <v>1</v>
      </c>
      <c r="C4" s="211"/>
      <c r="D4" s="205"/>
      <c r="E4" s="217"/>
      <c r="F4" s="217"/>
      <c r="G4" s="217"/>
    </row>
    <row r="5" spans="1:7" ht="16.5" customHeight="1">
      <c r="A5" s="221"/>
      <c r="B5" s="211"/>
      <c r="C5" s="211"/>
      <c r="D5" s="205"/>
      <c r="E5" s="217"/>
      <c r="F5" s="217"/>
      <c r="G5" s="217"/>
    </row>
    <row r="6" spans="1:7" ht="105.75" customHeight="1">
      <c r="A6" s="222"/>
      <c r="B6" s="211"/>
      <c r="C6" s="211"/>
      <c r="D6" s="206"/>
      <c r="E6" s="218"/>
      <c r="F6" s="218"/>
      <c r="G6" s="218"/>
    </row>
    <row r="7" spans="1:8" ht="37.5" customHeight="1">
      <c r="A7" s="19"/>
      <c r="B7" s="13">
        <v>1</v>
      </c>
      <c r="C7" s="20">
        <v>2</v>
      </c>
      <c r="D7" s="21">
        <v>3</v>
      </c>
      <c r="E7" s="22" t="s">
        <v>45</v>
      </c>
      <c r="F7" s="15" t="s">
        <v>66</v>
      </c>
      <c r="G7" s="22" t="s">
        <v>68</v>
      </c>
      <c r="H7" s="7"/>
    </row>
    <row r="8" spans="1:33" s="2" customFormat="1" ht="24.75" customHeight="1">
      <c r="A8" s="23">
        <v>1</v>
      </c>
      <c r="B8" s="24" t="s">
        <v>14</v>
      </c>
      <c r="C8" s="18">
        <v>0</v>
      </c>
      <c r="D8" s="139">
        <f>'отнош. расх. на обслуж.'!D8</f>
        <v>429112.6</v>
      </c>
      <c r="E8" s="28">
        <f>C8/D8*100</f>
        <v>0</v>
      </c>
      <c r="F8" s="140">
        <v>1</v>
      </c>
      <c r="G8" s="141">
        <f>F8*0.05</f>
        <v>0.05</v>
      </c>
      <c r="H8" s="29"/>
      <c r="I8" s="29"/>
      <c r="J8" s="29"/>
      <c r="K8" s="29"/>
      <c r="L8" s="29"/>
      <c r="M8" s="29"/>
      <c r="N8" s="29"/>
      <c r="O8" s="29"/>
      <c r="P8" s="29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</row>
    <row r="9" spans="1:8" s="2" customFormat="1" ht="33.75" customHeight="1">
      <c r="A9" s="25">
        <f aca="true" t="shared" si="0" ref="A9:A15">A8+1</f>
        <v>2</v>
      </c>
      <c r="B9" s="26" t="s">
        <v>3</v>
      </c>
      <c r="C9" s="18">
        <v>0</v>
      </c>
      <c r="D9" s="139">
        <f>'отнош. расх. на обслуж.'!D9</f>
        <v>26999.57</v>
      </c>
      <c r="E9" s="28">
        <f aca="true" t="shared" si="1" ref="E9:E20">C9/D9*100</f>
        <v>0</v>
      </c>
      <c r="F9" s="142">
        <v>1</v>
      </c>
      <c r="G9" s="141">
        <f aca="true" t="shared" si="2" ref="G9:G19">F9*0.05</f>
        <v>0.05</v>
      </c>
      <c r="H9" s="46"/>
    </row>
    <row r="10" spans="1:10" s="2" customFormat="1" ht="29.25" customHeight="1">
      <c r="A10" s="25">
        <f t="shared" si="0"/>
        <v>3</v>
      </c>
      <c r="B10" s="26" t="s">
        <v>4</v>
      </c>
      <c r="C10" s="18">
        <v>0</v>
      </c>
      <c r="D10" s="139">
        <f>'отнош. расх. на обслуж.'!D10</f>
        <v>54231.09</v>
      </c>
      <c r="E10" s="28">
        <f t="shared" si="1"/>
        <v>0</v>
      </c>
      <c r="F10" s="143">
        <v>1</v>
      </c>
      <c r="G10" s="141">
        <f t="shared" si="2"/>
        <v>0.05</v>
      </c>
      <c r="H10" s="8"/>
      <c r="I10" s="8"/>
      <c r="J10" s="8"/>
    </row>
    <row r="11" spans="1:7" s="2" customFormat="1" ht="28.5" customHeight="1">
      <c r="A11" s="25">
        <f t="shared" si="0"/>
        <v>4</v>
      </c>
      <c r="B11" s="26" t="s">
        <v>5</v>
      </c>
      <c r="C11" s="18">
        <v>0</v>
      </c>
      <c r="D11" s="139">
        <f>'отнош. расх. на обслуж.'!D11</f>
        <v>46919.31</v>
      </c>
      <c r="E11" s="28">
        <f t="shared" si="1"/>
        <v>0</v>
      </c>
      <c r="F11" s="140">
        <v>1</v>
      </c>
      <c r="G11" s="141">
        <f t="shared" si="2"/>
        <v>0.05</v>
      </c>
    </row>
    <row r="12" spans="1:7" s="2" customFormat="1" ht="28.5" customHeight="1">
      <c r="A12" s="25">
        <f t="shared" si="0"/>
        <v>5</v>
      </c>
      <c r="B12" s="26" t="s">
        <v>6</v>
      </c>
      <c r="C12" s="18">
        <v>0</v>
      </c>
      <c r="D12" s="139">
        <f>'отнош. расх. на обслуж.'!D12</f>
        <v>43627.47</v>
      </c>
      <c r="E12" s="28">
        <f t="shared" si="1"/>
        <v>0</v>
      </c>
      <c r="F12" s="140">
        <v>1</v>
      </c>
      <c r="G12" s="141">
        <f t="shared" si="2"/>
        <v>0.05</v>
      </c>
    </row>
    <row r="13" spans="1:8" s="2" customFormat="1" ht="27.75" customHeight="1">
      <c r="A13" s="25">
        <f t="shared" si="0"/>
        <v>6</v>
      </c>
      <c r="B13" s="26" t="s">
        <v>7</v>
      </c>
      <c r="C13" s="18">
        <v>0</v>
      </c>
      <c r="D13" s="139">
        <f>'отнош. расх. на обслуж.'!D13</f>
        <v>36100.99</v>
      </c>
      <c r="E13" s="28">
        <f t="shared" si="1"/>
        <v>0</v>
      </c>
      <c r="F13" s="140">
        <v>1</v>
      </c>
      <c r="G13" s="141">
        <f t="shared" si="2"/>
        <v>0.05</v>
      </c>
      <c r="H13" s="2" t="s">
        <v>69</v>
      </c>
    </row>
    <row r="14" spans="1:7" s="2" customFormat="1" ht="15.75">
      <c r="A14" s="25">
        <f t="shared" si="0"/>
        <v>7</v>
      </c>
      <c r="B14" s="26" t="s">
        <v>8</v>
      </c>
      <c r="C14" s="18">
        <v>0</v>
      </c>
      <c r="D14" s="139">
        <f>'отнош. расх. на обслуж.'!D14</f>
        <v>46117.81</v>
      </c>
      <c r="E14" s="28">
        <f t="shared" si="1"/>
        <v>0</v>
      </c>
      <c r="F14" s="140">
        <v>1</v>
      </c>
      <c r="G14" s="141">
        <f t="shared" si="2"/>
        <v>0.05</v>
      </c>
    </row>
    <row r="15" spans="1:7" s="2" customFormat="1" ht="22.5" customHeight="1">
      <c r="A15" s="25">
        <f t="shared" si="0"/>
        <v>8</v>
      </c>
      <c r="B15" s="26" t="s">
        <v>9</v>
      </c>
      <c r="C15" s="18">
        <v>0</v>
      </c>
      <c r="D15" s="139">
        <f>'отнош. расх. на обслуж.'!D15</f>
        <v>56641.15</v>
      </c>
      <c r="E15" s="28">
        <f t="shared" si="1"/>
        <v>0</v>
      </c>
      <c r="F15" s="140">
        <v>1</v>
      </c>
      <c r="G15" s="141">
        <f t="shared" si="2"/>
        <v>0.05</v>
      </c>
    </row>
    <row r="16" spans="1:7" s="2" customFormat="1" ht="24.75" customHeight="1">
      <c r="A16" s="25">
        <v>9</v>
      </c>
      <c r="B16" s="26" t="s">
        <v>10</v>
      </c>
      <c r="C16" s="18">
        <v>0</v>
      </c>
      <c r="D16" s="139">
        <f>'отнош. расх. на обслуж.'!D16</f>
        <v>49977.56</v>
      </c>
      <c r="E16" s="28">
        <f t="shared" si="1"/>
        <v>0</v>
      </c>
      <c r="F16" s="140">
        <v>1</v>
      </c>
      <c r="G16" s="141">
        <f t="shared" si="2"/>
        <v>0.05</v>
      </c>
    </row>
    <row r="17" spans="1:7" s="2" customFormat="1" ht="30.75" customHeight="1">
      <c r="A17" s="25">
        <v>10</v>
      </c>
      <c r="B17" s="26" t="s">
        <v>11</v>
      </c>
      <c r="C17" s="18">
        <v>0</v>
      </c>
      <c r="D17" s="139">
        <f>'отнош. расх. на обслуж.'!D17</f>
        <v>58126.45</v>
      </c>
      <c r="E17" s="28">
        <f t="shared" si="1"/>
        <v>0</v>
      </c>
      <c r="F17" s="140">
        <v>1</v>
      </c>
      <c r="G17" s="141">
        <f t="shared" si="2"/>
        <v>0.05</v>
      </c>
    </row>
    <row r="18" spans="1:7" s="2" customFormat="1" ht="28.5" customHeight="1">
      <c r="A18" s="25">
        <v>11</v>
      </c>
      <c r="B18" s="26" t="s">
        <v>12</v>
      </c>
      <c r="C18" s="18">
        <v>0</v>
      </c>
      <c r="D18" s="139">
        <f>'отнош. расх. на обслуж.'!D18</f>
        <v>264544.69</v>
      </c>
      <c r="E18" s="28">
        <f t="shared" si="1"/>
        <v>0</v>
      </c>
      <c r="F18" s="140">
        <v>1</v>
      </c>
      <c r="G18" s="141">
        <f t="shared" si="2"/>
        <v>0.05</v>
      </c>
    </row>
    <row r="19" spans="1:7" s="2" customFormat="1" ht="22.5" customHeight="1" thickBot="1">
      <c r="A19" s="25">
        <v>12</v>
      </c>
      <c r="B19" s="27" t="s">
        <v>13</v>
      </c>
      <c r="C19" s="32">
        <v>0</v>
      </c>
      <c r="D19" s="139">
        <f>'отнош. расх. на обслуж.'!D19</f>
        <v>40095.69</v>
      </c>
      <c r="E19" s="36">
        <f t="shared" si="1"/>
        <v>0</v>
      </c>
      <c r="F19" s="144">
        <v>1</v>
      </c>
      <c r="G19" s="141">
        <f t="shared" si="2"/>
        <v>0.05</v>
      </c>
    </row>
    <row r="20" spans="1:7" s="2" customFormat="1" ht="15" customHeight="1" thickBot="1">
      <c r="A20" s="31"/>
      <c r="B20" s="33" t="s">
        <v>2</v>
      </c>
      <c r="C20" s="34">
        <f>SUM(C8:C19)</f>
        <v>0</v>
      </c>
      <c r="D20" s="35">
        <f>SUM(D8:D19)</f>
        <v>1152494.38</v>
      </c>
      <c r="E20" s="52">
        <f t="shared" si="1"/>
        <v>0</v>
      </c>
      <c r="F20" s="54">
        <v>1</v>
      </c>
      <c r="G20" s="69">
        <f>F20*0.05</f>
        <v>0.05</v>
      </c>
    </row>
    <row r="21" spans="1:5" ht="15.75">
      <c r="A21" s="17"/>
      <c r="B21" s="17"/>
      <c r="C21" s="17"/>
      <c r="D21" s="17"/>
      <c r="E21" s="17"/>
    </row>
    <row r="22" spans="1:5" ht="15.75">
      <c r="A22" s="214" t="s">
        <v>20</v>
      </c>
      <c r="B22" s="214"/>
      <c r="C22" s="214"/>
      <c r="D22" s="214"/>
      <c r="E22" s="214"/>
    </row>
    <row r="23" spans="1:5" ht="15.75">
      <c r="A23" s="17"/>
      <c r="B23" s="17"/>
      <c r="C23" s="17"/>
      <c r="D23" s="17"/>
      <c r="E23" s="17"/>
    </row>
    <row r="24" spans="1:5" ht="15.75">
      <c r="A24" s="17"/>
      <c r="B24" s="17"/>
      <c r="C24" s="17"/>
      <c r="D24" s="17"/>
      <c r="E24" s="17"/>
    </row>
    <row r="25" spans="1:5" ht="15.75">
      <c r="A25" s="17"/>
      <c r="B25" s="5"/>
      <c r="C25" s="17"/>
      <c r="D25" s="17"/>
      <c r="E25" s="17"/>
    </row>
    <row r="26" spans="1:5" ht="18.75">
      <c r="A26" s="4"/>
      <c r="B26" s="4"/>
      <c r="C26" s="4"/>
      <c r="D26" s="4"/>
      <c r="E26" s="4"/>
    </row>
    <row r="27" spans="1:5" ht="18.75">
      <c r="A27" s="4"/>
      <c r="B27" s="4"/>
      <c r="C27" s="4"/>
      <c r="D27" s="4"/>
      <c r="E27" s="4"/>
    </row>
    <row r="28" spans="1:5" ht="18.75">
      <c r="A28" s="4"/>
      <c r="B28" s="4"/>
      <c r="C28" s="4"/>
      <c r="D28" s="4"/>
      <c r="E28" s="4"/>
    </row>
    <row r="29" spans="1:5" ht="18.75">
      <c r="A29" s="4"/>
      <c r="B29" s="4"/>
      <c r="C29" s="4"/>
      <c r="D29" s="4"/>
      <c r="E29" s="4"/>
    </row>
  </sheetData>
  <sheetProtection/>
  <mergeCells count="9">
    <mergeCell ref="A1:G1"/>
    <mergeCell ref="F2:F6"/>
    <mergeCell ref="A22:E22"/>
    <mergeCell ref="A2:A6"/>
    <mergeCell ref="B2:B6"/>
    <mergeCell ref="C2:C6"/>
    <mergeCell ref="D2:D6"/>
    <mergeCell ref="E2:E6"/>
    <mergeCell ref="G2:G6"/>
  </mergeCells>
  <dataValidations count="1">
    <dataValidation operator="notEqual" showErrorMessage="1" errorTitle="ОШИБКА" error="Должно быть целое положительное число!" sqref="C8:D8 D9:D19"/>
  </dataValidations>
  <printOptions/>
  <pageMargins left="1.1811023622047245" right="0.1968503937007874" top="0.31496062992125984" bottom="0.15748031496062992" header="0" footer="0"/>
  <pageSetup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29"/>
  <sheetViews>
    <sheetView showZeros="0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8" sqref="F8:G19"/>
    </sheetView>
  </sheetViews>
  <sheetFormatPr defaultColWidth="9.00390625" defaultRowHeight="12.75"/>
  <cols>
    <col min="1" max="1" width="4.125" style="1" customWidth="1"/>
    <col min="2" max="2" width="22.75390625" style="1" customWidth="1"/>
    <col min="3" max="3" width="23.375" style="1" customWidth="1"/>
    <col min="4" max="4" width="23.75390625" style="1" customWidth="1"/>
    <col min="5" max="5" width="29.375" style="1" customWidth="1"/>
    <col min="6" max="7" width="20.125" style="1" customWidth="1"/>
    <col min="8" max="16384" width="9.125" style="1" customWidth="1"/>
  </cols>
  <sheetData>
    <row r="1" spans="1:7" ht="47.25" customHeight="1">
      <c r="A1" s="212" t="s">
        <v>35</v>
      </c>
      <c r="B1" s="212"/>
      <c r="C1" s="212"/>
      <c r="D1" s="212"/>
      <c r="E1" s="212"/>
      <c r="F1" s="212"/>
      <c r="G1" s="212"/>
    </row>
    <row r="2" spans="1:7" ht="12.75" customHeight="1">
      <c r="A2" s="213"/>
      <c r="B2" s="211" t="s">
        <v>21</v>
      </c>
      <c r="C2" s="211" t="s">
        <v>121</v>
      </c>
      <c r="D2" s="211" t="s">
        <v>120</v>
      </c>
      <c r="E2" s="211" t="s">
        <v>35</v>
      </c>
      <c r="F2" s="211" t="s">
        <v>65</v>
      </c>
      <c r="G2" s="211" t="s">
        <v>67</v>
      </c>
    </row>
    <row r="3" spans="1:7" ht="12.75" customHeight="1">
      <c r="A3" s="213"/>
      <c r="B3" s="211" t="s">
        <v>0</v>
      </c>
      <c r="C3" s="211"/>
      <c r="D3" s="211"/>
      <c r="E3" s="211"/>
      <c r="F3" s="211"/>
      <c r="G3" s="211"/>
    </row>
    <row r="4" spans="1:7" ht="15.75" customHeight="1">
      <c r="A4" s="213"/>
      <c r="B4" s="211" t="s">
        <v>1</v>
      </c>
      <c r="C4" s="211"/>
      <c r="D4" s="211"/>
      <c r="E4" s="211"/>
      <c r="F4" s="211"/>
      <c r="G4" s="211"/>
    </row>
    <row r="5" spans="1:7" ht="16.5" customHeight="1">
      <c r="A5" s="213"/>
      <c r="B5" s="211"/>
      <c r="C5" s="211"/>
      <c r="D5" s="211"/>
      <c r="E5" s="211"/>
      <c r="F5" s="211"/>
      <c r="G5" s="211"/>
    </row>
    <row r="6" spans="1:7" ht="58.5" customHeight="1">
      <c r="A6" s="213"/>
      <c r="B6" s="211"/>
      <c r="C6" s="211"/>
      <c r="D6" s="211"/>
      <c r="E6" s="211"/>
      <c r="F6" s="211"/>
      <c r="G6" s="211"/>
    </row>
    <row r="7" spans="1:8" s="85" customFormat="1" ht="40.5" customHeight="1">
      <c r="A7" s="47"/>
      <c r="B7" s="47">
        <v>1</v>
      </c>
      <c r="C7" s="15">
        <v>2</v>
      </c>
      <c r="D7" s="15">
        <v>3</v>
      </c>
      <c r="E7" s="15" t="s">
        <v>45</v>
      </c>
      <c r="F7" s="15" t="s">
        <v>72</v>
      </c>
      <c r="G7" s="15" t="s">
        <v>68</v>
      </c>
      <c r="H7" s="84"/>
    </row>
    <row r="8" spans="1:33" s="2" customFormat="1" ht="24" customHeight="1">
      <c r="A8" s="116">
        <v>1</v>
      </c>
      <c r="B8" s="14" t="s">
        <v>14</v>
      </c>
      <c r="C8" s="170">
        <v>175700.5821</v>
      </c>
      <c r="D8" s="170">
        <f>104740.63575+7598.55276+1311.03146+77731.58309</f>
        <v>191381.80306</v>
      </c>
      <c r="E8" s="172">
        <f>C8/D8*100</f>
        <v>91.80631559047242</v>
      </c>
      <c r="F8" s="180">
        <f aca="true" t="shared" si="0" ref="F8:F20">(E8-77.448)/(151.564-77.448)</f>
        <v>0.19372761064375343</v>
      </c>
      <c r="G8" s="180">
        <f>F8*0.05</f>
        <v>0.009686380532187672</v>
      </c>
      <c r="H8" s="29"/>
      <c r="I8" s="29"/>
      <c r="J8" s="29"/>
      <c r="K8" s="29"/>
      <c r="L8" s="29"/>
      <c r="M8" s="29"/>
      <c r="N8" s="29"/>
      <c r="O8" s="29"/>
      <c r="P8" s="29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</row>
    <row r="9" spans="1:7" s="2" customFormat="1" ht="24" customHeight="1">
      <c r="A9" s="73">
        <f aca="true" t="shared" si="1" ref="A9:A15">A8+1</f>
        <v>2</v>
      </c>
      <c r="B9" s="75" t="s">
        <v>3</v>
      </c>
      <c r="C9" s="170">
        <v>15833.28211</v>
      </c>
      <c r="D9" s="170">
        <v>13921.03626</v>
      </c>
      <c r="E9" s="172">
        <f aca="true" t="shared" si="2" ref="E9:E19">C9/D9*100</f>
        <v>113.73637575741793</v>
      </c>
      <c r="F9" s="180">
        <f t="shared" si="0"/>
        <v>0.48961595009738706</v>
      </c>
      <c r="G9" s="180">
        <f aca="true" t="shared" si="3" ref="G9:G19">F9*0.05</f>
        <v>0.024480797504869353</v>
      </c>
    </row>
    <row r="10" spans="1:10" s="2" customFormat="1" ht="24" customHeight="1">
      <c r="A10" s="73">
        <f t="shared" si="1"/>
        <v>3</v>
      </c>
      <c r="B10" s="75" t="s">
        <v>4</v>
      </c>
      <c r="C10" s="170">
        <v>32429.03191</v>
      </c>
      <c r="D10" s="170">
        <v>41872.17855</v>
      </c>
      <c r="E10" s="172">
        <f t="shared" si="2"/>
        <v>77.44768252570418</v>
      </c>
      <c r="F10" s="180">
        <f t="shared" si="0"/>
        <v>-4.283478544609846E-06</v>
      </c>
      <c r="G10" s="180">
        <f t="shared" si="3"/>
        <v>-2.141739272304923E-07</v>
      </c>
      <c r="H10" s="2" t="s">
        <v>64</v>
      </c>
      <c r="I10" s="8"/>
      <c r="J10" s="8"/>
    </row>
    <row r="11" spans="1:7" s="2" customFormat="1" ht="24" customHeight="1">
      <c r="A11" s="73">
        <f t="shared" si="1"/>
        <v>4</v>
      </c>
      <c r="B11" s="75" t="s">
        <v>5</v>
      </c>
      <c r="C11" s="170">
        <v>17719.71053</v>
      </c>
      <c r="D11" s="170">
        <v>15936.11489</v>
      </c>
      <c r="E11" s="172">
        <f t="shared" si="2"/>
        <v>111.1921610273983</v>
      </c>
      <c r="F11" s="180">
        <f t="shared" si="0"/>
        <v>0.45528848058986326</v>
      </c>
      <c r="G11" s="180">
        <f t="shared" si="3"/>
        <v>0.022764424029493163</v>
      </c>
    </row>
    <row r="12" spans="1:7" s="2" customFormat="1" ht="24" customHeight="1">
      <c r="A12" s="73">
        <f t="shared" si="1"/>
        <v>5</v>
      </c>
      <c r="B12" s="75" t="s">
        <v>6</v>
      </c>
      <c r="C12" s="170">
        <v>40060.38047</v>
      </c>
      <c r="D12" s="170">
        <v>32928.76813</v>
      </c>
      <c r="E12" s="172">
        <f t="shared" si="2"/>
        <v>121.65769551975039</v>
      </c>
      <c r="F12" s="180">
        <f t="shared" si="0"/>
        <v>0.5964932743233633</v>
      </c>
      <c r="G12" s="180">
        <f t="shared" si="3"/>
        <v>0.029824663716168168</v>
      </c>
    </row>
    <row r="13" spans="1:7" s="2" customFormat="1" ht="24" customHeight="1">
      <c r="A13" s="73">
        <f t="shared" si="1"/>
        <v>6</v>
      </c>
      <c r="B13" s="75" t="s">
        <v>7</v>
      </c>
      <c r="C13" s="170">
        <v>19398.33855</v>
      </c>
      <c r="D13" s="170">
        <v>17901.97278</v>
      </c>
      <c r="E13" s="172">
        <f t="shared" si="2"/>
        <v>108.35866408908706</v>
      </c>
      <c r="F13" s="180">
        <f t="shared" si="0"/>
        <v>0.4170579104253746</v>
      </c>
      <c r="G13" s="180">
        <f t="shared" si="3"/>
        <v>0.020852895521268733</v>
      </c>
    </row>
    <row r="14" spans="1:7" s="2" customFormat="1" ht="24" customHeight="1">
      <c r="A14" s="73">
        <f t="shared" si="1"/>
        <v>7</v>
      </c>
      <c r="B14" s="75" t="s">
        <v>8</v>
      </c>
      <c r="C14" s="170">
        <v>18638.51424</v>
      </c>
      <c r="D14" s="170">
        <v>19739.90443</v>
      </c>
      <c r="E14" s="172">
        <f t="shared" si="2"/>
        <v>94.42048874195082</v>
      </c>
      <c r="F14" s="180">
        <f t="shared" si="0"/>
        <v>0.2289989845910576</v>
      </c>
      <c r="G14" s="180">
        <f t="shared" si="3"/>
        <v>0.011449949229552881</v>
      </c>
    </row>
    <row r="15" spans="1:7" s="2" customFormat="1" ht="24" customHeight="1">
      <c r="A15" s="73">
        <f t="shared" si="1"/>
        <v>8</v>
      </c>
      <c r="B15" s="75" t="s">
        <v>9</v>
      </c>
      <c r="C15" s="170">
        <v>19129.31779</v>
      </c>
      <c r="D15" s="170">
        <v>17393.6493</v>
      </c>
      <c r="E15" s="172">
        <f t="shared" si="2"/>
        <v>109.97874833546288</v>
      </c>
      <c r="F15" s="180">
        <f t="shared" si="0"/>
        <v>0.4389166756903083</v>
      </c>
      <c r="G15" s="180">
        <f t="shared" si="3"/>
        <v>0.021945833784515416</v>
      </c>
    </row>
    <row r="16" spans="1:7" s="2" customFormat="1" ht="24" customHeight="1">
      <c r="A16" s="73">
        <v>9</v>
      </c>
      <c r="B16" s="75" t="s">
        <v>10</v>
      </c>
      <c r="C16" s="170">
        <v>38550.35675</v>
      </c>
      <c r="D16" s="170">
        <v>30852.37479</v>
      </c>
      <c r="E16" s="172">
        <f t="shared" si="2"/>
        <v>124.95101920807438</v>
      </c>
      <c r="F16" s="180">
        <f t="shared" si="0"/>
        <v>0.6409279940643638</v>
      </c>
      <c r="G16" s="180">
        <f t="shared" si="3"/>
        <v>0.032046399703218195</v>
      </c>
    </row>
    <row r="17" spans="1:8" s="2" customFormat="1" ht="24" customHeight="1">
      <c r="A17" s="73">
        <v>10</v>
      </c>
      <c r="B17" s="75" t="s">
        <v>11</v>
      </c>
      <c r="C17" s="170">
        <v>46094.96525</v>
      </c>
      <c r="D17" s="170">
        <v>30412.91875</v>
      </c>
      <c r="E17" s="172">
        <f t="shared" si="2"/>
        <v>151.56376679564832</v>
      </c>
      <c r="F17" s="180">
        <f t="shared" si="0"/>
        <v>0.9999968535221588</v>
      </c>
      <c r="G17" s="180">
        <f t="shared" si="3"/>
        <v>0.04999984267610794</v>
      </c>
      <c r="H17" s="2" t="s">
        <v>69</v>
      </c>
    </row>
    <row r="18" spans="1:7" s="2" customFormat="1" ht="24" customHeight="1">
      <c r="A18" s="73">
        <v>11</v>
      </c>
      <c r="B18" s="75" t="s">
        <v>12</v>
      </c>
      <c r="C18" s="170">
        <v>276214.96528</v>
      </c>
      <c r="D18" s="170">
        <v>220005.0224</v>
      </c>
      <c r="E18" s="172">
        <f t="shared" si="2"/>
        <v>125.54939076699915</v>
      </c>
      <c r="F18" s="180">
        <f t="shared" si="0"/>
        <v>0.6490014405391435</v>
      </c>
      <c r="G18" s="180">
        <f t="shared" si="3"/>
        <v>0.032450072026957176</v>
      </c>
    </row>
    <row r="19" spans="1:7" s="2" customFormat="1" ht="24" customHeight="1" thickBot="1">
      <c r="A19" s="76">
        <v>12</v>
      </c>
      <c r="B19" s="77" t="s">
        <v>13</v>
      </c>
      <c r="C19" s="171">
        <v>22413.23454</v>
      </c>
      <c r="D19" s="171">
        <v>21243.36958</v>
      </c>
      <c r="E19" s="173">
        <f t="shared" si="2"/>
        <v>105.50696515255939</v>
      </c>
      <c r="F19" s="185">
        <f t="shared" si="0"/>
        <v>0.378581752287757</v>
      </c>
      <c r="G19" s="185">
        <f t="shared" si="3"/>
        <v>0.01892908761438785</v>
      </c>
    </row>
    <row r="20" spans="1:7" s="2" customFormat="1" ht="24" customHeight="1" thickBot="1">
      <c r="A20" s="83"/>
      <c r="B20" s="79" t="s">
        <v>2</v>
      </c>
      <c r="C20" s="111">
        <f>SUM(C8:C19)</f>
        <v>722182.6795199999</v>
      </c>
      <c r="D20" s="111">
        <f>SUM(D8:D19)</f>
        <v>653589.11292</v>
      </c>
      <c r="E20" s="195">
        <f>C20/D20*100</f>
        <v>110.49490654664498</v>
      </c>
      <c r="F20" s="197">
        <f t="shared" si="0"/>
        <v>0.4458808698073964</v>
      </c>
      <c r="G20" s="196">
        <f>F20*0.05</f>
        <v>0.02229404349036982</v>
      </c>
    </row>
    <row r="21" spans="1:5" ht="15.75">
      <c r="A21" s="17"/>
      <c r="B21" s="17"/>
      <c r="C21" s="17"/>
      <c r="D21" s="17"/>
      <c r="E21" s="17"/>
    </row>
    <row r="22" spans="1:5" ht="15.75">
      <c r="A22" s="214" t="s">
        <v>20</v>
      </c>
      <c r="B22" s="214"/>
      <c r="C22" s="214"/>
      <c r="D22" s="214"/>
      <c r="E22" s="214"/>
    </row>
    <row r="23" spans="1:5" ht="15.75">
      <c r="A23" s="17"/>
      <c r="B23" s="17"/>
      <c r="C23" s="17"/>
      <c r="D23" s="17"/>
      <c r="E23" s="17"/>
    </row>
    <row r="24" spans="1:5" ht="15.75">
      <c r="A24" s="17"/>
      <c r="B24" s="17"/>
      <c r="C24" s="17"/>
      <c r="D24" s="17"/>
      <c r="E24" s="17"/>
    </row>
    <row r="25" spans="1:5" ht="15.75">
      <c r="A25" s="17"/>
      <c r="B25" s="5"/>
      <c r="C25" s="17"/>
      <c r="D25" s="17"/>
      <c r="E25" s="17"/>
    </row>
    <row r="26" spans="1:5" ht="18.75">
      <c r="A26" s="4"/>
      <c r="B26" s="4"/>
      <c r="C26" s="4"/>
      <c r="D26" s="4"/>
      <c r="E26" s="4"/>
    </row>
    <row r="27" spans="1:5" ht="18.75">
      <c r="A27" s="4"/>
      <c r="B27" s="4"/>
      <c r="C27" s="4"/>
      <c r="D27" s="4"/>
      <c r="E27" s="4"/>
    </row>
    <row r="28" spans="1:5" ht="18.75">
      <c r="A28" s="4"/>
      <c r="B28" s="4"/>
      <c r="C28" s="4"/>
      <c r="D28" s="4"/>
      <c r="E28" s="4"/>
    </row>
    <row r="29" spans="1:5" ht="18.75">
      <c r="A29" s="4"/>
      <c r="B29" s="4"/>
      <c r="C29" s="4"/>
      <c r="D29" s="4"/>
      <c r="E29" s="4"/>
    </row>
  </sheetData>
  <sheetProtection/>
  <mergeCells count="9">
    <mergeCell ref="A1:G1"/>
    <mergeCell ref="F2:F6"/>
    <mergeCell ref="A22:E22"/>
    <mergeCell ref="A2:A6"/>
    <mergeCell ref="B2:B6"/>
    <mergeCell ref="C2:C6"/>
    <mergeCell ref="D2:D6"/>
    <mergeCell ref="E2:E6"/>
    <mergeCell ref="G2:G6"/>
  </mergeCells>
  <dataValidations count="1">
    <dataValidation operator="notEqual" showErrorMessage="1" errorTitle="ОШИБКА" error="Должно быть целое положительное число!" sqref="C8:D19"/>
  </dataValidations>
  <printOptions/>
  <pageMargins left="1.1811023622047245" right="0.1968503937007874" top="0.31496062992125984" bottom="0.15748031496062992" header="0" footer="0"/>
  <pageSetup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29"/>
  <sheetViews>
    <sheetView showZeros="0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20" sqref="F20"/>
    </sheetView>
  </sheetViews>
  <sheetFormatPr defaultColWidth="9.00390625" defaultRowHeight="12.75"/>
  <cols>
    <col min="1" max="1" width="4.125" style="1" customWidth="1"/>
    <col min="2" max="2" width="22.75390625" style="1" customWidth="1"/>
    <col min="3" max="3" width="26.75390625" style="1" customWidth="1"/>
    <col min="4" max="4" width="28.00390625" style="39" customWidth="1"/>
    <col min="5" max="5" width="29.375" style="1" customWidth="1"/>
    <col min="6" max="6" width="21.375" style="1" customWidth="1"/>
    <col min="7" max="7" width="16.75390625" style="1" customWidth="1"/>
    <col min="8" max="16384" width="9.125" style="1" customWidth="1"/>
  </cols>
  <sheetData>
    <row r="1" spans="1:7" ht="30" customHeight="1">
      <c r="A1" s="212" t="s">
        <v>112</v>
      </c>
      <c r="B1" s="212"/>
      <c r="C1" s="212"/>
      <c r="D1" s="212"/>
      <c r="E1" s="212"/>
      <c r="F1" s="212"/>
      <c r="G1" s="212"/>
    </row>
    <row r="2" spans="1:7" ht="12.75" customHeight="1">
      <c r="A2" s="224"/>
      <c r="B2" s="211" t="s">
        <v>21</v>
      </c>
      <c r="C2" s="211" t="s">
        <v>38</v>
      </c>
      <c r="D2" s="211" t="s">
        <v>39</v>
      </c>
      <c r="E2" s="211" t="s">
        <v>112</v>
      </c>
      <c r="F2" s="211" t="s">
        <v>65</v>
      </c>
      <c r="G2" s="211" t="s">
        <v>67</v>
      </c>
    </row>
    <row r="3" spans="1:7" ht="12.75" customHeight="1">
      <c r="A3" s="224"/>
      <c r="B3" s="211" t="s">
        <v>0</v>
      </c>
      <c r="C3" s="211"/>
      <c r="D3" s="211"/>
      <c r="E3" s="211"/>
      <c r="F3" s="211"/>
      <c r="G3" s="211"/>
    </row>
    <row r="4" spans="1:7" ht="15.75" customHeight="1">
      <c r="A4" s="224"/>
      <c r="B4" s="211" t="s">
        <v>1</v>
      </c>
      <c r="C4" s="211"/>
      <c r="D4" s="211"/>
      <c r="E4" s="211"/>
      <c r="F4" s="211"/>
      <c r="G4" s="211"/>
    </row>
    <row r="5" spans="1:7" ht="16.5" customHeight="1">
      <c r="A5" s="224"/>
      <c r="B5" s="211"/>
      <c r="C5" s="211"/>
      <c r="D5" s="211"/>
      <c r="E5" s="211"/>
      <c r="F5" s="211"/>
      <c r="G5" s="211"/>
    </row>
    <row r="6" spans="1:7" ht="57.75" customHeight="1">
      <c r="A6" s="224"/>
      <c r="B6" s="211"/>
      <c r="C6" s="211"/>
      <c r="D6" s="211"/>
      <c r="E6" s="211"/>
      <c r="F6" s="211"/>
      <c r="G6" s="211"/>
    </row>
    <row r="7" spans="1:8" ht="36" customHeight="1">
      <c r="A7" s="47"/>
      <c r="B7" s="47">
        <v>1</v>
      </c>
      <c r="C7" s="15">
        <v>2</v>
      </c>
      <c r="D7" s="15">
        <v>3</v>
      </c>
      <c r="E7" s="15" t="s">
        <v>36</v>
      </c>
      <c r="F7" s="15" t="s">
        <v>66</v>
      </c>
      <c r="G7" s="15" t="s">
        <v>68</v>
      </c>
      <c r="H7" s="7"/>
    </row>
    <row r="8" spans="1:33" s="2" customFormat="1" ht="24" customHeight="1">
      <c r="A8" s="73">
        <v>1</v>
      </c>
      <c r="B8" s="14" t="s">
        <v>14</v>
      </c>
      <c r="C8" s="106">
        <v>16188.3</v>
      </c>
      <c r="D8" s="106">
        <v>15037.7</v>
      </c>
      <c r="E8" s="169">
        <f>D8/C8*100</f>
        <v>92.8923975957945</v>
      </c>
      <c r="F8" s="189">
        <f aca="true" t="shared" si="0" ref="F8:F20">(117.328-E8)/(117.328-82.573)</f>
        <v>0.703081640172795</v>
      </c>
      <c r="G8" s="189">
        <f>F8*0.05</f>
        <v>0.03515408200863975</v>
      </c>
      <c r="H8" s="29"/>
      <c r="I8" s="29"/>
      <c r="J8" s="29"/>
      <c r="K8" s="29"/>
      <c r="L8" s="29"/>
      <c r="M8" s="29"/>
      <c r="N8" s="29"/>
      <c r="O8" s="29"/>
      <c r="P8" s="29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</row>
    <row r="9" spans="1:8" s="2" customFormat="1" ht="24" customHeight="1">
      <c r="A9" s="73">
        <f aca="true" t="shared" si="1" ref="A9:A15">A8+1</f>
        <v>2</v>
      </c>
      <c r="B9" s="75" t="s">
        <v>3</v>
      </c>
      <c r="C9" s="106">
        <v>3386.2</v>
      </c>
      <c r="D9" s="106">
        <v>3430.8</v>
      </c>
      <c r="E9" s="169">
        <f aca="true" t="shared" si="2" ref="E9:E19">D9/C9*100</f>
        <v>101.3171106254799</v>
      </c>
      <c r="F9" s="189">
        <f t="shared" si="0"/>
        <v>0.46067873326197956</v>
      </c>
      <c r="G9" s="189">
        <f aca="true" t="shared" si="3" ref="G9:G19">F9*0.05</f>
        <v>0.02303393666309898</v>
      </c>
      <c r="H9" s="46"/>
    </row>
    <row r="10" spans="1:10" s="2" customFormat="1" ht="24" customHeight="1">
      <c r="A10" s="73">
        <f t="shared" si="1"/>
        <v>3</v>
      </c>
      <c r="B10" s="75" t="s">
        <v>4</v>
      </c>
      <c r="C10" s="106">
        <v>1446.1</v>
      </c>
      <c r="D10" s="106">
        <v>1652.2</v>
      </c>
      <c r="E10" s="169">
        <f t="shared" si="2"/>
        <v>114.25212640896206</v>
      </c>
      <c r="F10" s="189">
        <f t="shared" si="0"/>
        <v>0.08850161389837279</v>
      </c>
      <c r="G10" s="189">
        <f t="shared" si="3"/>
        <v>0.00442508069491864</v>
      </c>
      <c r="I10" s="8"/>
      <c r="J10" s="8"/>
    </row>
    <row r="11" spans="1:7" s="2" customFormat="1" ht="24" customHeight="1">
      <c r="A11" s="73">
        <f t="shared" si="1"/>
        <v>4</v>
      </c>
      <c r="B11" s="75" t="s">
        <v>5</v>
      </c>
      <c r="C11" s="106">
        <v>2384.5</v>
      </c>
      <c r="D11" s="106">
        <v>2772.6</v>
      </c>
      <c r="E11" s="169">
        <f t="shared" si="2"/>
        <v>116.275948836234</v>
      </c>
      <c r="F11" s="189">
        <f t="shared" si="0"/>
        <v>0.030270498166192174</v>
      </c>
      <c r="G11" s="189">
        <f t="shared" si="3"/>
        <v>0.0015135249083096088</v>
      </c>
    </row>
    <row r="12" spans="1:7" s="2" customFormat="1" ht="24" customHeight="1">
      <c r="A12" s="73">
        <f t="shared" si="1"/>
        <v>5</v>
      </c>
      <c r="B12" s="75" t="s">
        <v>6</v>
      </c>
      <c r="C12" s="106">
        <v>1383.8</v>
      </c>
      <c r="D12" s="106">
        <v>1329.2</v>
      </c>
      <c r="E12" s="169">
        <f t="shared" si="2"/>
        <v>96.05434311316665</v>
      </c>
      <c r="F12" s="189">
        <f t="shared" si="0"/>
        <v>0.6121034926437446</v>
      </c>
      <c r="G12" s="189">
        <f t="shared" si="3"/>
        <v>0.030605174632187232</v>
      </c>
    </row>
    <row r="13" spans="1:7" s="2" customFormat="1" ht="24" customHeight="1">
      <c r="A13" s="73">
        <f t="shared" si="1"/>
        <v>6</v>
      </c>
      <c r="B13" s="75" t="s">
        <v>7</v>
      </c>
      <c r="C13" s="106">
        <v>2631.6</v>
      </c>
      <c r="D13" s="106">
        <v>3010.7</v>
      </c>
      <c r="E13" s="169">
        <f t="shared" si="2"/>
        <v>114.40568475452196</v>
      </c>
      <c r="F13" s="189">
        <f t="shared" si="0"/>
        <v>0.08408330443038542</v>
      </c>
      <c r="G13" s="189">
        <f t="shared" si="3"/>
        <v>0.004204165221519271</v>
      </c>
    </row>
    <row r="14" spans="1:7" s="2" customFormat="1" ht="24" customHeight="1">
      <c r="A14" s="73">
        <f t="shared" si="1"/>
        <v>7</v>
      </c>
      <c r="B14" s="75" t="s">
        <v>8</v>
      </c>
      <c r="C14" s="106">
        <v>2370.8</v>
      </c>
      <c r="D14" s="106">
        <v>2700.4</v>
      </c>
      <c r="E14" s="169">
        <f t="shared" si="2"/>
        <v>113.9024801754682</v>
      </c>
      <c r="F14" s="189">
        <f t="shared" si="0"/>
        <v>0.09856192848602513</v>
      </c>
      <c r="G14" s="189">
        <f t="shared" si="3"/>
        <v>0.004928096424301257</v>
      </c>
    </row>
    <row r="15" spans="1:7" s="2" customFormat="1" ht="24" customHeight="1">
      <c r="A15" s="73">
        <f t="shared" si="1"/>
        <v>8</v>
      </c>
      <c r="B15" s="75" t="s">
        <v>9</v>
      </c>
      <c r="C15" s="106">
        <v>2245.9</v>
      </c>
      <c r="D15" s="106">
        <v>2515.7</v>
      </c>
      <c r="E15" s="169">
        <f t="shared" si="2"/>
        <v>112.01300146934412</v>
      </c>
      <c r="F15" s="189">
        <f t="shared" si="0"/>
        <v>0.15292759403412123</v>
      </c>
      <c r="G15" s="189">
        <f t="shared" si="3"/>
        <v>0.007646379701706062</v>
      </c>
    </row>
    <row r="16" spans="1:8" s="2" customFormat="1" ht="24" customHeight="1">
      <c r="A16" s="73">
        <v>9</v>
      </c>
      <c r="B16" s="75" t="s">
        <v>10</v>
      </c>
      <c r="C16" s="106">
        <v>1349.8</v>
      </c>
      <c r="D16" s="106">
        <v>1583.7</v>
      </c>
      <c r="E16" s="169">
        <f t="shared" si="2"/>
        <v>117.32849311009039</v>
      </c>
      <c r="F16" s="189">
        <f t="shared" si="0"/>
        <v>-1.418817696414564E-05</v>
      </c>
      <c r="G16" s="189">
        <f t="shared" si="3"/>
        <v>-7.09408848207282E-07</v>
      </c>
      <c r="H16" s="2" t="s">
        <v>69</v>
      </c>
    </row>
    <row r="17" spans="1:8" s="2" customFormat="1" ht="24" customHeight="1">
      <c r="A17" s="73">
        <v>10</v>
      </c>
      <c r="B17" s="75" t="s">
        <v>11</v>
      </c>
      <c r="C17" s="106">
        <v>4727.6</v>
      </c>
      <c r="D17" s="106">
        <v>3903.7</v>
      </c>
      <c r="E17" s="169">
        <f t="shared" si="2"/>
        <v>82.57255266943056</v>
      </c>
      <c r="F17" s="189">
        <f t="shared" si="0"/>
        <v>1.0000128709702036</v>
      </c>
      <c r="G17" s="189">
        <f t="shared" si="3"/>
        <v>0.050000643548510186</v>
      </c>
      <c r="H17" s="2" t="s">
        <v>64</v>
      </c>
    </row>
    <row r="18" spans="1:7" s="2" customFormat="1" ht="24" customHeight="1">
      <c r="A18" s="73">
        <v>11</v>
      </c>
      <c r="B18" s="75" t="s">
        <v>12</v>
      </c>
      <c r="C18" s="106">
        <v>4538.1</v>
      </c>
      <c r="D18" s="106">
        <v>5141.1</v>
      </c>
      <c r="E18" s="169">
        <f t="shared" si="2"/>
        <v>113.28749917366298</v>
      </c>
      <c r="F18" s="189">
        <f t="shared" si="0"/>
        <v>0.11625667749495101</v>
      </c>
      <c r="G18" s="189">
        <f t="shared" si="3"/>
        <v>0.005812833874747551</v>
      </c>
    </row>
    <row r="19" spans="1:7" s="2" customFormat="1" ht="24" customHeight="1" thickBot="1">
      <c r="A19" s="76">
        <v>12</v>
      </c>
      <c r="B19" s="77" t="s">
        <v>13</v>
      </c>
      <c r="C19" s="168">
        <v>2790.4</v>
      </c>
      <c r="D19" s="168">
        <v>2961.2</v>
      </c>
      <c r="E19" s="174">
        <f t="shared" si="2"/>
        <v>106.1209862385321</v>
      </c>
      <c r="F19" s="191">
        <f t="shared" si="0"/>
        <v>0.32245759635931237</v>
      </c>
      <c r="G19" s="191">
        <f t="shared" si="3"/>
        <v>0.01612287981796562</v>
      </c>
    </row>
    <row r="20" spans="1:7" s="2" customFormat="1" ht="24" customHeight="1" thickBot="1">
      <c r="A20" s="83"/>
      <c r="B20" s="79" t="s">
        <v>2</v>
      </c>
      <c r="C20" s="107">
        <f>SUM(C8:C19)</f>
        <v>45443.1</v>
      </c>
      <c r="D20" s="107">
        <f>SUM(D8:D19)</f>
        <v>46038.99999999999</v>
      </c>
      <c r="E20" s="102">
        <f>D20/C20*100</f>
        <v>101.3113101879053</v>
      </c>
      <c r="F20" s="194">
        <f t="shared" si="0"/>
        <v>0.4608456283151976</v>
      </c>
      <c r="G20" s="103">
        <f>F20*0.05</f>
        <v>0.023042281415759883</v>
      </c>
    </row>
    <row r="21" spans="1:5" ht="15.75">
      <c r="A21" s="17"/>
      <c r="B21" s="17"/>
      <c r="C21" s="17"/>
      <c r="D21" s="6"/>
      <c r="E21" s="17"/>
    </row>
    <row r="22" spans="1:5" ht="15.75">
      <c r="A22" s="214" t="s">
        <v>20</v>
      </c>
      <c r="B22" s="214"/>
      <c r="C22" s="214"/>
      <c r="D22" s="214"/>
      <c r="E22" s="214"/>
    </row>
    <row r="23" spans="1:5" ht="15.75">
      <c r="A23" s="17"/>
      <c r="B23" s="17"/>
      <c r="C23" s="17"/>
      <c r="D23" s="6"/>
      <c r="E23" s="17"/>
    </row>
    <row r="24" spans="1:5" ht="15.75">
      <c r="A24" s="17"/>
      <c r="B24" s="17"/>
      <c r="C24" s="17"/>
      <c r="D24" s="6"/>
      <c r="E24" s="17"/>
    </row>
    <row r="25" spans="1:5" ht="15.75">
      <c r="A25" s="17"/>
      <c r="B25" s="5"/>
      <c r="C25" s="17"/>
      <c r="D25" s="6"/>
      <c r="E25" s="17"/>
    </row>
    <row r="26" spans="1:5" ht="18.75">
      <c r="A26" s="4"/>
      <c r="B26" s="4"/>
      <c r="C26" s="4"/>
      <c r="D26" s="10"/>
      <c r="E26" s="4"/>
    </row>
    <row r="27" spans="1:5" ht="18.75">
      <c r="A27" s="4"/>
      <c r="B27" s="4"/>
      <c r="C27" s="4"/>
      <c r="D27" s="10"/>
      <c r="E27" s="4"/>
    </row>
    <row r="28" spans="1:5" ht="18.75">
      <c r="A28" s="4"/>
      <c r="B28" s="4"/>
      <c r="C28" s="4"/>
      <c r="D28" s="10"/>
      <c r="E28" s="4"/>
    </row>
    <row r="29" spans="1:5" ht="18.75">
      <c r="A29" s="4"/>
      <c r="B29" s="4"/>
      <c r="C29" s="4"/>
      <c r="D29" s="10"/>
      <c r="E29" s="4"/>
    </row>
  </sheetData>
  <sheetProtection/>
  <mergeCells count="9">
    <mergeCell ref="A1:G1"/>
    <mergeCell ref="F2:F6"/>
    <mergeCell ref="A22:E22"/>
    <mergeCell ref="A2:A6"/>
    <mergeCell ref="B2:B6"/>
    <mergeCell ref="C2:C6"/>
    <mergeCell ref="D2:D6"/>
    <mergeCell ref="E2:E6"/>
    <mergeCell ref="G2:G6"/>
  </mergeCells>
  <printOptions/>
  <pageMargins left="1.1811023622047245" right="0.1968503937007874" top="0.31496062992125984" bottom="0.15748031496062992" header="0" footer="0"/>
  <pageSetup horizontalDpi="600" verticalDpi="600" orientation="landscape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29"/>
  <sheetViews>
    <sheetView showZeros="0" zoomScaleSheetLayoutView="100" zoomScalePageLayoutView="0" workbookViewId="0" topLeftCell="A1">
      <pane xSplit="2" ySplit="7" topLeftCell="C1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16" sqref="J16"/>
    </sheetView>
  </sheetViews>
  <sheetFormatPr defaultColWidth="9.00390625" defaultRowHeight="12.75"/>
  <cols>
    <col min="1" max="1" width="4.125" style="1" customWidth="1"/>
    <col min="2" max="2" width="22.75390625" style="1" customWidth="1"/>
    <col min="3" max="3" width="22.00390625" style="1" customWidth="1"/>
    <col min="4" max="4" width="23.75390625" style="39" customWidth="1"/>
    <col min="5" max="5" width="35.875" style="1" customWidth="1"/>
    <col min="6" max="6" width="21.625" style="1" customWidth="1"/>
    <col min="7" max="7" width="20.25390625" style="1" customWidth="1"/>
    <col min="8" max="16384" width="9.125" style="1" customWidth="1"/>
  </cols>
  <sheetData>
    <row r="1" spans="1:7" ht="48.75" customHeight="1">
      <c r="A1" s="212" t="s">
        <v>40</v>
      </c>
      <c r="B1" s="212"/>
      <c r="C1" s="212"/>
      <c r="D1" s="212"/>
      <c r="E1" s="212"/>
      <c r="F1" s="212"/>
      <c r="G1" s="212"/>
    </row>
    <row r="2" spans="1:7" ht="12.75" customHeight="1">
      <c r="A2" s="224"/>
      <c r="B2" s="211" t="s">
        <v>21</v>
      </c>
      <c r="C2" s="211" t="s">
        <v>42</v>
      </c>
      <c r="D2" s="211" t="s">
        <v>41</v>
      </c>
      <c r="E2" s="211" t="s">
        <v>40</v>
      </c>
      <c r="F2" s="211" t="s">
        <v>65</v>
      </c>
      <c r="G2" s="211" t="s">
        <v>67</v>
      </c>
    </row>
    <row r="3" spans="1:7" ht="12.75" customHeight="1">
      <c r="A3" s="224"/>
      <c r="B3" s="211" t="s">
        <v>0</v>
      </c>
      <c r="C3" s="211"/>
      <c r="D3" s="211"/>
      <c r="E3" s="211"/>
      <c r="F3" s="211"/>
      <c r="G3" s="211"/>
    </row>
    <row r="4" spans="1:7" ht="15.75" customHeight="1">
      <c r="A4" s="224"/>
      <c r="B4" s="211" t="s">
        <v>1</v>
      </c>
      <c r="C4" s="211"/>
      <c r="D4" s="211"/>
      <c r="E4" s="211"/>
      <c r="F4" s="211"/>
      <c r="G4" s="211"/>
    </row>
    <row r="5" spans="1:7" ht="16.5" customHeight="1">
      <c r="A5" s="224"/>
      <c r="B5" s="211"/>
      <c r="C5" s="211"/>
      <c r="D5" s="211"/>
      <c r="E5" s="211"/>
      <c r="F5" s="211"/>
      <c r="G5" s="211"/>
    </row>
    <row r="6" spans="1:7" ht="35.25" customHeight="1">
      <c r="A6" s="224"/>
      <c r="B6" s="211"/>
      <c r="C6" s="211"/>
      <c r="D6" s="211"/>
      <c r="E6" s="211"/>
      <c r="F6" s="211"/>
      <c r="G6" s="211"/>
    </row>
    <row r="7" spans="1:8" ht="39" customHeight="1">
      <c r="A7" s="47"/>
      <c r="B7" s="47">
        <v>1</v>
      </c>
      <c r="C7" s="15">
        <v>2</v>
      </c>
      <c r="D7" s="15">
        <v>3</v>
      </c>
      <c r="E7" s="15" t="s">
        <v>45</v>
      </c>
      <c r="F7" s="15" t="s">
        <v>72</v>
      </c>
      <c r="G7" s="15" t="s">
        <v>68</v>
      </c>
      <c r="H7" s="7"/>
    </row>
    <row r="8" spans="1:33" s="2" customFormat="1" ht="21.75" customHeight="1">
      <c r="A8" s="73">
        <v>1</v>
      </c>
      <c r="B8" s="14" t="s">
        <v>14</v>
      </c>
      <c r="C8" s="175">
        <v>11703.3904</v>
      </c>
      <c r="D8" s="175">
        <v>119822.1</v>
      </c>
      <c r="E8" s="169">
        <f>C8/D8*100</f>
        <v>9.767305363534772</v>
      </c>
      <c r="F8" s="189">
        <f aca="true" t="shared" si="0" ref="F8:F20">(E8-0.055)/(9.767-0.055)</f>
        <v>1.0000314418796101</v>
      </c>
      <c r="G8" s="198">
        <f>F8*0.05</f>
        <v>0.05000157209398051</v>
      </c>
      <c r="H8" s="2" t="s">
        <v>69</v>
      </c>
      <c r="I8" s="29"/>
      <c r="J8" s="29"/>
      <c r="K8" s="29"/>
      <c r="L8" s="29"/>
      <c r="M8" s="29"/>
      <c r="N8" s="29"/>
      <c r="O8" s="29"/>
      <c r="P8" s="29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</row>
    <row r="9" spans="1:7" s="2" customFormat="1" ht="21.75" customHeight="1">
      <c r="A9" s="73">
        <v>2</v>
      </c>
      <c r="B9" s="75" t="s">
        <v>3</v>
      </c>
      <c r="C9" s="175">
        <v>3.18204</v>
      </c>
      <c r="D9" s="175">
        <v>3356.7</v>
      </c>
      <c r="E9" s="169">
        <f aca="true" t="shared" si="1" ref="E9:E19">C9/D9*100</f>
        <v>0.09479667530610422</v>
      </c>
      <c r="F9" s="189">
        <f t="shared" si="0"/>
        <v>0.004097680735801506</v>
      </c>
      <c r="G9" s="198">
        <f aca="true" t="shared" si="2" ref="G9:G19">F9*0.05</f>
        <v>0.0002048840367900753</v>
      </c>
    </row>
    <row r="10" spans="1:10" s="2" customFormat="1" ht="21.75" customHeight="1">
      <c r="A10" s="73">
        <v>3</v>
      </c>
      <c r="B10" s="75" t="s">
        <v>4</v>
      </c>
      <c r="C10" s="175">
        <v>462.86036</v>
      </c>
      <c r="D10" s="175">
        <v>17102.2</v>
      </c>
      <c r="E10" s="169">
        <f t="shared" si="1"/>
        <v>2.7064375343523057</v>
      </c>
      <c r="F10" s="189">
        <f t="shared" si="0"/>
        <v>0.2730063359094219</v>
      </c>
      <c r="G10" s="198">
        <f t="shared" si="2"/>
        <v>0.013650316795471096</v>
      </c>
      <c r="H10" s="8"/>
      <c r="I10" s="8"/>
      <c r="J10" s="8"/>
    </row>
    <row r="11" spans="1:8" s="2" customFormat="1" ht="21.75" customHeight="1">
      <c r="A11" s="73">
        <v>4</v>
      </c>
      <c r="B11" s="75" t="s">
        <v>5</v>
      </c>
      <c r="C11" s="175">
        <v>0.52836</v>
      </c>
      <c r="D11" s="175">
        <v>967.69837</v>
      </c>
      <c r="E11" s="169">
        <f t="shared" si="1"/>
        <v>0.05459965794920167</v>
      </c>
      <c r="F11" s="189">
        <f t="shared" si="0"/>
        <v>-4.122138084826285E-05</v>
      </c>
      <c r="G11" s="198">
        <f t="shared" si="2"/>
        <v>-2.0610690424131426E-06</v>
      </c>
      <c r="H11" s="2" t="s">
        <v>64</v>
      </c>
    </row>
    <row r="12" spans="1:7" s="2" customFormat="1" ht="21.75" customHeight="1">
      <c r="A12" s="73">
        <v>5</v>
      </c>
      <c r="B12" s="75" t="s">
        <v>6</v>
      </c>
      <c r="C12" s="175">
        <v>3.12648</v>
      </c>
      <c r="D12" s="175">
        <v>3126.5</v>
      </c>
      <c r="E12" s="169">
        <f t="shared" si="1"/>
        <v>0.0999993603070526</v>
      </c>
      <c r="F12" s="189">
        <f t="shared" si="0"/>
        <v>0.004633377296854675</v>
      </c>
      <c r="G12" s="198">
        <f t="shared" si="2"/>
        <v>0.00023166886484273376</v>
      </c>
    </row>
    <row r="13" spans="1:7" s="2" customFormat="1" ht="21.75" customHeight="1">
      <c r="A13" s="73">
        <v>6</v>
      </c>
      <c r="B13" s="75" t="s">
        <v>7</v>
      </c>
      <c r="C13" s="175">
        <v>4.30896</v>
      </c>
      <c r="D13" s="175">
        <v>4308.91</v>
      </c>
      <c r="E13" s="169">
        <f t="shared" si="1"/>
        <v>0.10000116038626938</v>
      </c>
      <c r="F13" s="189">
        <f t="shared" si="0"/>
        <v>0.0046335626427377865</v>
      </c>
      <c r="G13" s="198">
        <f t="shared" si="2"/>
        <v>0.00023167813213688935</v>
      </c>
    </row>
    <row r="14" spans="1:7" s="2" customFormat="1" ht="21.75" customHeight="1">
      <c r="A14" s="73">
        <v>7</v>
      </c>
      <c r="B14" s="75" t="s">
        <v>8</v>
      </c>
      <c r="C14" s="175">
        <v>156.35028</v>
      </c>
      <c r="D14" s="175">
        <v>5363.4</v>
      </c>
      <c r="E14" s="169">
        <f t="shared" si="1"/>
        <v>2.915133683857255</v>
      </c>
      <c r="F14" s="189">
        <f t="shared" si="0"/>
        <v>0.2944948191780534</v>
      </c>
      <c r="G14" s="198">
        <f t="shared" si="2"/>
        <v>0.014724740958902673</v>
      </c>
    </row>
    <row r="15" spans="1:7" s="2" customFormat="1" ht="21.75" customHeight="1">
      <c r="A15" s="73">
        <v>8</v>
      </c>
      <c r="B15" s="75" t="s">
        <v>9</v>
      </c>
      <c r="C15" s="175">
        <v>29.78964</v>
      </c>
      <c r="D15" s="175">
        <v>29789.6</v>
      </c>
      <c r="E15" s="169">
        <f t="shared" si="1"/>
        <v>0.100000134275049</v>
      </c>
      <c r="F15" s="189">
        <f t="shared" si="0"/>
        <v>0.004633456988781816</v>
      </c>
      <c r="G15" s="198">
        <f t="shared" si="2"/>
        <v>0.00023167284943909083</v>
      </c>
    </row>
    <row r="16" spans="1:7" s="2" customFormat="1" ht="21.75" customHeight="1">
      <c r="A16" s="73">
        <v>9</v>
      </c>
      <c r="B16" s="75" t="s">
        <v>10</v>
      </c>
      <c r="C16" s="175">
        <v>25.54572</v>
      </c>
      <c r="D16" s="175">
        <v>25545.7</v>
      </c>
      <c r="E16" s="169">
        <f t="shared" si="1"/>
        <v>0.10000007829106268</v>
      </c>
      <c r="F16" s="189">
        <f t="shared" si="0"/>
        <v>0.004633451224368069</v>
      </c>
      <c r="G16" s="198">
        <f t="shared" si="2"/>
        <v>0.00023167256121840344</v>
      </c>
    </row>
    <row r="17" spans="1:7" s="2" customFormat="1" ht="21.75" customHeight="1">
      <c r="A17" s="73">
        <v>10</v>
      </c>
      <c r="B17" s="75" t="s">
        <v>11</v>
      </c>
      <c r="C17" s="175">
        <v>1207.64709</v>
      </c>
      <c r="D17" s="175">
        <v>92123.1</v>
      </c>
      <c r="E17" s="169">
        <f t="shared" si="1"/>
        <v>1.3109058314364148</v>
      </c>
      <c r="F17" s="189">
        <f t="shared" si="0"/>
        <v>0.1293148508480658</v>
      </c>
      <c r="G17" s="198">
        <f t="shared" si="2"/>
        <v>0.00646574254240329</v>
      </c>
    </row>
    <row r="18" spans="1:7" s="2" customFormat="1" ht="21.75" customHeight="1">
      <c r="A18" s="73">
        <v>11</v>
      </c>
      <c r="B18" s="75" t="s">
        <v>12</v>
      </c>
      <c r="C18" s="175">
        <v>97.53632</v>
      </c>
      <c r="D18" s="175">
        <v>6305.1</v>
      </c>
      <c r="E18" s="169">
        <f t="shared" si="1"/>
        <v>1.546943268148007</v>
      </c>
      <c r="F18" s="189">
        <f t="shared" si="0"/>
        <v>0.15361854078953946</v>
      </c>
      <c r="G18" s="198">
        <f t="shared" si="2"/>
        <v>0.0076809270394769735</v>
      </c>
    </row>
    <row r="19" spans="1:7" s="2" customFormat="1" ht="21.75" customHeight="1" thickBot="1">
      <c r="A19" s="73">
        <v>12</v>
      </c>
      <c r="B19" s="77" t="s">
        <v>13</v>
      </c>
      <c r="C19" s="176">
        <v>4.10556</v>
      </c>
      <c r="D19" s="177">
        <v>4655.7</v>
      </c>
      <c r="E19" s="174">
        <f t="shared" si="1"/>
        <v>0.0881835169791868</v>
      </c>
      <c r="F19" s="191">
        <f t="shared" si="0"/>
        <v>0.0034167542194385096</v>
      </c>
      <c r="G19" s="199">
        <f t="shared" si="2"/>
        <v>0.0001708377109719255</v>
      </c>
    </row>
    <row r="20" spans="1:7" s="2" customFormat="1" ht="30.75" customHeight="1" thickBot="1">
      <c r="A20" s="83"/>
      <c r="B20" s="79" t="s">
        <v>2</v>
      </c>
      <c r="C20" s="112">
        <f>SUM(C8:C19)</f>
        <v>13698.371210000003</v>
      </c>
      <c r="D20" s="112">
        <f>SUM(D8:D18)</f>
        <v>307811.00837</v>
      </c>
      <c r="E20" s="102">
        <f>C20/D20*100</f>
        <v>4.450253836774435</v>
      </c>
      <c r="F20" s="194">
        <f t="shared" si="0"/>
        <v>0.4525590853350942</v>
      </c>
      <c r="G20" s="103">
        <f>F20*0.05</f>
        <v>0.02262795426675471</v>
      </c>
    </row>
    <row r="21" spans="1:7" ht="15.75">
      <c r="A21" s="17"/>
      <c r="B21" s="17"/>
      <c r="C21" s="17"/>
      <c r="D21" s="6"/>
      <c r="E21" s="17"/>
      <c r="F21" s="7"/>
      <c r="G21" s="7"/>
    </row>
    <row r="22" spans="1:7" ht="15.75">
      <c r="A22" s="214" t="s">
        <v>20</v>
      </c>
      <c r="B22" s="214"/>
      <c r="C22" s="214"/>
      <c r="D22" s="214"/>
      <c r="E22" s="214"/>
      <c r="F22" s="7"/>
      <c r="G22" s="7"/>
    </row>
    <row r="23" spans="1:5" ht="15.75">
      <c r="A23" s="17"/>
      <c r="B23" s="17"/>
      <c r="C23" s="17"/>
      <c r="D23" s="6"/>
      <c r="E23" s="17"/>
    </row>
    <row r="24" spans="1:5" ht="15.75">
      <c r="A24" s="17"/>
      <c r="B24" s="17"/>
      <c r="C24" s="17"/>
      <c r="D24" s="6"/>
      <c r="E24" s="17"/>
    </row>
    <row r="25" spans="1:5" ht="15.75">
      <c r="A25" s="17"/>
      <c r="B25" s="5"/>
      <c r="C25" s="17"/>
      <c r="D25" s="6"/>
      <c r="E25" s="17"/>
    </row>
    <row r="26" spans="1:5" ht="18.75">
      <c r="A26" s="4"/>
      <c r="B26" s="4"/>
      <c r="C26" s="4"/>
      <c r="D26" s="10"/>
      <c r="E26" s="4"/>
    </row>
    <row r="27" spans="1:5" ht="18.75">
      <c r="A27" s="4"/>
      <c r="B27" s="4"/>
      <c r="C27" s="4"/>
      <c r="D27" s="10"/>
      <c r="E27" s="4"/>
    </row>
    <row r="28" spans="1:5" ht="18.75">
      <c r="A28" s="4"/>
      <c r="B28" s="4"/>
      <c r="C28" s="4"/>
      <c r="D28" s="10"/>
      <c r="E28" s="4"/>
    </row>
    <row r="29" spans="1:5" ht="18.75">
      <c r="A29" s="4"/>
      <c r="B29" s="4"/>
      <c r="C29" s="4"/>
      <c r="D29" s="10"/>
      <c r="E29" s="4"/>
    </row>
  </sheetData>
  <sheetProtection/>
  <mergeCells count="9">
    <mergeCell ref="A1:G1"/>
    <mergeCell ref="F2:F6"/>
    <mergeCell ref="A22:E22"/>
    <mergeCell ref="A2:A6"/>
    <mergeCell ref="B2:B6"/>
    <mergeCell ref="C2:C6"/>
    <mergeCell ref="D2:D6"/>
    <mergeCell ref="E2:E6"/>
    <mergeCell ref="G2:G6"/>
  </mergeCells>
  <dataValidations count="1">
    <dataValidation operator="notEqual" showErrorMessage="1" errorTitle="ОШИБКА" error="Должно быть целое положительное число!" sqref="C8"/>
  </dataValidations>
  <printOptions/>
  <pageMargins left="1.1811023622047245" right="0.1968503937007874" top="0.31496062992125984" bottom="0.15748031496062992" header="0" footer="0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Воякин Георгий Валерьевич</dc:creator>
  <cp:keywords/>
  <dc:description/>
  <cp:lastModifiedBy>Остапенко Светлана Николаевна</cp:lastModifiedBy>
  <cp:lastPrinted>2019-09-16T07:59:47Z</cp:lastPrinted>
  <dcterms:created xsi:type="dcterms:W3CDTF">2005-05-03T12:47:21Z</dcterms:created>
  <dcterms:modified xsi:type="dcterms:W3CDTF">2019-09-16T08:00:17Z</dcterms:modified>
  <cp:category/>
  <cp:version/>
  <cp:contentType/>
  <cp:contentStatus/>
</cp:coreProperties>
</file>