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15480" windowHeight="9105" activeTab="1"/>
  </bookViews>
  <sheets>
    <sheet name="СВОД" sheetId="1" r:id="rId1"/>
    <sheet name="общие" sheetId="2" r:id="rId2"/>
    <sheet name="уд. вес" sheetId="3" r:id="rId3"/>
  </sheets>
  <definedNames>
    <definedName name="_xlnm.Print_Titles" localSheetId="1">общие!$4:$4</definedName>
    <definedName name="_xlnm.Print_Titles" localSheetId="0">СВОД!$6:$6</definedName>
    <definedName name="_xlnm.Print_Area" localSheetId="1">общие!$A$1:$G$462</definedName>
    <definedName name="_xlnm.Print_Area" localSheetId="0">СВОД!$A$1:$F$123</definedName>
    <definedName name="_xlnm.Print_Area" localSheetId="2">'уд. вес'!$A$1:$E$20</definedName>
  </definedNames>
  <calcPr calcId="145621"/>
</workbook>
</file>

<file path=xl/calcChain.xml><?xml version="1.0" encoding="utf-8"?>
<calcChain xmlns="http://schemas.openxmlformats.org/spreadsheetml/2006/main">
  <c r="E170" i="2" l="1"/>
  <c r="E441" i="2" l="1"/>
  <c r="D441" i="2"/>
  <c r="F102" i="2"/>
  <c r="F155" i="2"/>
  <c r="E317" i="2" l="1"/>
  <c r="D317" i="2"/>
  <c r="E37" i="1"/>
  <c r="D37" i="1"/>
  <c r="E316" i="2"/>
  <c r="D316" i="2"/>
  <c r="E36" i="1"/>
  <c r="D36" i="1"/>
  <c r="E315" i="2"/>
  <c r="D315" i="2"/>
  <c r="I194" i="2" l="1"/>
  <c r="H194" i="2"/>
  <c r="I133" i="2"/>
  <c r="H133" i="2"/>
  <c r="E56" i="1"/>
  <c r="D56" i="1"/>
  <c r="E25" i="1"/>
  <c r="D25" i="1"/>
  <c r="E24" i="1"/>
  <c r="E23" i="1"/>
  <c r="D24" i="1"/>
  <c r="E43" i="1"/>
  <c r="E42" i="1"/>
  <c r="D42" i="1"/>
  <c r="E34" i="1"/>
  <c r="D34" i="1"/>
  <c r="E33" i="1"/>
  <c r="D33" i="1"/>
  <c r="E31" i="1"/>
  <c r="D31" i="1"/>
  <c r="E30" i="1"/>
  <c r="D30" i="1"/>
  <c r="D23" i="1"/>
  <c r="E12" i="1"/>
  <c r="D12" i="1"/>
  <c r="E11" i="1"/>
  <c r="D11" i="1"/>
  <c r="E454" i="2"/>
  <c r="E453" i="2"/>
  <c r="E113" i="1" s="1"/>
  <c r="D453" i="2"/>
  <c r="E444" i="2"/>
  <c r="D444" i="2"/>
  <c r="E443" i="2"/>
  <c r="E94" i="1" s="1"/>
  <c r="D443" i="2"/>
  <c r="E440" i="2"/>
  <c r="E434" i="2"/>
  <c r="D434" i="2"/>
  <c r="E417" i="2"/>
  <c r="D417" i="2"/>
  <c r="E402" i="2"/>
  <c r="D402" i="2"/>
  <c r="E387" i="2"/>
  <c r="D387" i="2"/>
  <c r="E371" i="2"/>
  <c r="D371" i="2"/>
  <c r="E362" i="2"/>
  <c r="E372" i="2" s="1"/>
  <c r="D362" i="2"/>
  <c r="D372" i="2" s="1"/>
  <c r="H351" i="2"/>
  <c r="E352" i="2"/>
  <c r="D352" i="2"/>
  <c r="E448" i="2"/>
  <c r="D341" i="2"/>
  <c r="D448" i="2" s="1"/>
  <c r="E337" i="2"/>
  <c r="D337" i="2"/>
  <c r="F336" i="2"/>
  <c r="F335" i="2"/>
  <c r="F334" i="2"/>
  <c r="I326" i="2"/>
  <c r="H326" i="2"/>
  <c r="E329" i="2"/>
  <c r="D329" i="2"/>
  <c r="E328" i="2"/>
  <c r="D328" i="2"/>
  <c r="F327" i="2"/>
  <c r="F326" i="2"/>
  <c r="E324" i="2"/>
  <c r="E432" i="2" s="1"/>
  <c r="D324" i="2"/>
  <c r="D432" i="2" s="1"/>
  <c r="E323" i="2"/>
  <c r="D323" i="2"/>
  <c r="D431" i="2" s="1"/>
  <c r="I315" i="2"/>
  <c r="H315" i="2"/>
  <c r="F316" i="2"/>
  <c r="F315" i="2"/>
  <c r="E314" i="2"/>
  <c r="D314" i="2"/>
  <c r="D429" i="2" s="1"/>
  <c r="E310" i="2"/>
  <c r="D310" i="2"/>
  <c r="E307" i="2"/>
  <c r="D307" i="2"/>
  <c r="E306" i="2"/>
  <c r="E52" i="1" s="1"/>
  <c r="D306" i="2"/>
  <c r="H304" i="2" s="1"/>
  <c r="F305" i="2"/>
  <c r="F304" i="2"/>
  <c r="E297" i="2"/>
  <c r="D297" i="2"/>
  <c r="E282" i="2"/>
  <c r="E281" i="2"/>
  <c r="D281" i="2"/>
  <c r="D277" i="2"/>
  <c r="D282" i="2" s="1"/>
  <c r="E272" i="2"/>
  <c r="E283" i="2" s="1"/>
  <c r="D272" i="2"/>
  <c r="E262" i="2"/>
  <c r="D262" i="2"/>
  <c r="E248" i="2"/>
  <c r="D248" i="2"/>
  <c r="E233" i="2"/>
  <c r="D233" i="2"/>
  <c r="E232" i="2"/>
  <c r="D232" i="2"/>
  <c r="E215" i="2"/>
  <c r="E214" i="2"/>
  <c r="D214" i="2"/>
  <c r="F23" i="1" l="1"/>
  <c r="D94" i="1"/>
  <c r="F94" i="1" s="1"/>
  <c r="D113" i="1"/>
  <c r="F113" i="1" s="1"/>
  <c r="F417" i="2"/>
  <c r="F402" i="2"/>
  <c r="E354" i="2"/>
  <c r="F372" i="2"/>
  <c r="F387" i="2"/>
  <c r="F352" i="2"/>
  <c r="J194" i="2"/>
  <c r="J133" i="2"/>
  <c r="F323" i="2"/>
  <c r="E59" i="1"/>
  <c r="D354" i="2"/>
  <c r="F354" i="2" s="1"/>
  <c r="H328" i="2"/>
  <c r="F362" i="2"/>
  <c r="E26" i="1"/>
  <c r="H323" i="2"/>
  <c r="F314" i="2"/>
  <c r="F214" i="2"/>
  <c r="F262" i="2"/>
  <c r="E353" i="2"/>
  <c r="I328" i="2"/>
  <c r="J328" i="2" s="1"/>
  <c r="F337" i="2"/>
  <c r="F371" i="2"/>
  <c r="E429" i="2"/>
  <c r="E58" i="1"/>
  <c r="I323" i="2"/>
  <c r="E422" i="2"/>
  <c r="F453" i="2"/>
  <c r="F277" i="2"/>
  <c r="I306" i="2"/>
  <c r="E431" i="2"/>
  <c r="E437" i="2"/>
  <c r="F443" i="2"/>
  <c r="D59" i="1"/>
  <c r="D52" i="1"/>
  <c r="D58" i="1"/>
  <c r="D422" i="2"/>
  <c r="F297" i="2"/>
  <c r="F341" i="2"/>
  <c r="D353" i="2"/>
  <c r="D457" i="2"/>
  <c r="F232" i="2"/>
  <c r="F281" i="2"/>
  <c r="D437" i="2"/>
  <c r="E457" i="2"/>
  <c r="F457" i="2" s="1"/>
  <c r="F61" i="1"/>
  <c r="F51" i="1"/>
  <c r="E46" i="1"/>
  <c r="D46" i="1"/>
  <c r="D26" i="1"/>
  <c r="F42" i="1"/>
  <c r="E117" i="1"/>
  <c r="F306" i="2"/>
  <c r="H306" i="2"/>
  <c r="F324" i="2"/>
  <c r="F233" i="2"/>
  <c r="F248" i="2"/>
  <c r="F272" i="2"/>
  <c r="I304" i="2"/>
  <c r="J304" i="2" s="1"/>
  <c r="F282" i="2"/>
  <c r="D283" i="2"/>
  <c r="F283" i="2" s="1"/>
  <c r="D117" i="1" l="1"/>
  <c r="F117" i="1" s="1"/>
  <c r="J306" i="2"/>
  <c r="J323" i="2"/>
  <c r="F353" i="2"/>
  <c r="F46" i="1"/>
  <c r="F208" i="2" l="1"/>
  <c r="I206" i="2"/>
  <c r="D207" i="2"/>
  <c r="E216" i="2"/>
  <c r="D196" i="2"/>
  <c r="F195" i="2"/>
  <c r="F194" i="2"/>
  <c r="E185" i="2"/>
  <c r="D185" i="2"/>
  <c r="D169" i="2"/>
  <c r="E169" i="2"/>
  <c r="E158" i="2"/>
  <c r="E445" i="2" s="1"/>
  <c r="D158" i="2"/>
  <c r="E166" i="2"/>
  <c r="E451" i="2" s="1"/>
  <c r="D166" i="2"/>
  <c r="D451" i="2" s="1"/>
  <c r="E162" i="2"/>
  <c r="E455" i="2" s="1"/>
  <c r="E456" i="2" s="1"/>
  <c r="D162" i="2"/>
  <c r="D455" i="2" s="1"/>
  <c r="E150" i="2"/>
  <c r="E438" i="2" s="1"/>
  <c r="D150" i="2"/>
  <c r="D438" i="2" s="1"/>
  <c r="E144" i="2"/>
  <c r="E435" i="2" s="1"/>
  <c r="D144" i="2"/>
  <c r="D435" i="2" s="1"/>
  <c r="E138" i="2"/>
  <c r="E423" i="2" s="1"/>
  <c r="D138" i="2"/>
  <c r="D423" i="2" s="1"/>
  <c r="E131" i="2"/>
  <c r="D131" i="2"/>
  <c r="E115" i="2"/>
  <c r="D115" i="2"/>
  <c r="E87" i="2"/>
  <c r="D87" i="2"/>
  <c r="E86" i="2"/>
  <c r="E468" i="2" s="1"/>
  <c r="D86" i="2"/>
  <c r="D468" i="2" s="1"/>
  <c r="E72" i="2"/>
  <c r="D72" i="2"/>
  <c r="F468" i="2" l="1"/>
  <c r="D215" i="2"/>
  <c r="F215" i="2" s="1"/>
  <c r="D43" i="1"/>
  <c r="D454" i="2"/>
  <c r="F162" i="2"/>
  <c r="F185" i="2"/>
  <c r="H206" i="2"/>
  <c r="F196" i="2"/>
  <c r="F86" i="2"/>
  <c r="D170" i="2"/>
  <c r="F150" i="2"/>
  <c r="F166" i="2"/>
  <c r="F169" i="2"/>
  <c r="F154" i="2"/>
  <c r="F158" i="2"/>
  <c r="F207" i="2"/>
  <c r="F72" i="2"/>
  <c r="F144" i="2"/>
  <c r="F87" i="2"/>
  <c r="F138" i="2"/>
  <c r="F131" i="2"/>
  <c r="F115" i="2"/>
  <c r="D456" i="2" l="1"/>
  <c r="F170" i="2"/>
  <c r="I343" i="2"/>
  <c r="H343" i="2"/>
  <c r="I330" i="2"/>
  <c r="H330" i="2"/>
  <c r="I321" i="2"/>
  <c r="H321" i="2"/>
  <c r="I318" i="2"/>
  <c r="H318" i="2"/>
  <c r="I312" i="2"/>
  <c r="H312" i="2"/>
  <c r="I223" i="2"/>
  <c r="H223" i="2"/>
  <c r="I203" i="2"/>
  <c r="I164" i="2"/>
  <c r="H164" i="2"/>
  <c r="I142" i="2"/>
  <c r="H142" i="2"/>
  <c r="J142" i="2" l="1"/>
  <c r="J321" i="2"/>
  <c r="J223" i="2"/>
  <c r="J343" i="2"/>
  <c r="J206" i="2"/>
  <c r="J315" i="2"/>
  <c r="J312" i="2"/>
  <c r="J318" i="2"/>
  <c r="J330" i="2"/>
  <c r="J164" i="2"/>
  <c r="I339" i="2" l="1"/>
  <c r="H339" i="2"/>
  <c r="I270" i="2"/>
  <c r="H270" i="2"/>
  <c r="J339" i="2" l="1"/>
  <c r="J270" i="2"/>
  <c r="J326" i="2"/>
  <c r="I198" i="2"/>
  <c r="H198" i="2"/>
  <c r="I160" i="2"/>
  <c r="H160" i="2"/>
  <c r="F110" i="2"/>
  <c r="F109" i="2"/>
  <c r="F108" i="2"/>
  <c r="G3" i="3"/>
  <c r="J198" i="2" l="1"/>
  <c r="J160" i="2"/>
  <c r="D420" i="2"/>
  <c r="D419" i="2"/>
  <c r="E44" i="1"/>
  <c r="E45" i="1" s="1"/>
  <c r="D44" i="1"/>
  <c r="D45" i="1" s="1"/>
  <c r="I454" i="2"/>
  <c r="H454" i="2"/>
  <c r="F206" i="2"/>
  <c r="F384" i="2"/>
  <c r="F345" i="2"/>
  <c r="F211" i="2"/>
  <c r="F210" i="2"/>
  <c r="F128" i="2"/>
  <c r="F161" i="2"/>
  <c r="F160" i="2"/>
  <c r="F64" i="2"/>
  <c r="F63" i="2"/>
  <c r="F62" i="2"/>
  <c r="F61" i="2"/>
  <c r="F60" i="2"/>
  <c r="F276" i="2"/>
  <c r="H419" i="2" l="1"/>
  <c r="E28" i="1"/>
  <c r="D28" i="1"/>
  <c r="E27" i="1"/>
  <c r="D27" i="1"/>
  <c r="E447" i="2"/>
  <c r="I447" i="2" s="1"/>
  <c r="D447" i="2"/>
  <c r="F58" i="2"/>
  <c r="F57" i="2"/>
  <c r="F342" i="2"/>
  <c r="F106" i="2"/>
  <c r="F56" i="2"/>
  <c r="F55" i="2"/>
  <c r="H447" i="2" l="1"/>
  <c r="I136" i="2"/>
  <c r="H136" i="2"/>
  <c r="B91" i="1"/>
  <c r="I152" i="2"/>
  <c r="E20" i="1"/>
  <c r="D20" i="1"/>
  <c r="J136" i="2" l="1"/>
  <c r="E21" i="1"/>
  <c r="I440" i="2"/>
  <c r="D440" i="2"/>
  <c r="F152" i="2"/>
  <c r="I148" i="2"/>
  <c r="H148" i="2"/>
  <c r="I145" i="2"/>
  <c r="H145" i="2"/>
  <c r="I444" i="2"/>
  <c r="H440" i="2" l="1"/>
  <c r="J148" i="2"/>
  <c r="J145" i="2"/>
  <c r="H152" i="2"/>
  <c r="J152" i="2" s="1"/>
  <c r="D21" i="1"/>
  <c r="F53" i="2"/>
  <c r="F338" i="2"/>
  <c r="H444" i="2"/>
  <c r="D204" i="2"/>
  <c r="F203" i="2"/>
  <c r="F156" i="2"/>
  <c r="F104" i="2"/>
  <c r="F52" i="2"/>
  <c r="F51" i="2"/>
  <c r="F50" i="2"/>
  <c r="F49" i="2"/>
  <c r="E115" i="1"/>
  <c r="E76" i="1" s="1"/>
  <c r="D115" i="1"/>
  <c r="D76" i="1" s="1"/>
  <c r="E114" i="1"/>
  <c r="D114" i="1"/>
  <c r="E99" i="1"/>
  <c r="E71" i="1" s="1"/>
  <c r="D99" i="1"/>
  <c r="D71" i="1" s="1"/>
  <c r="E98" i="1"/>
  <c r="F62" i="1" s="1"/>
  <c r="D98" i="1"/>
  <c r="E95" i="1"/>
  <c r="E91" i="1"/>
  <c r="F60" i="1" s="1"/>
  <c r="D91" i="1"/>
  <c r="E40" i="1"/>
  <c r="D40" i="1"/>
  <c r="E39" i="1"/>
  <c r="D39" i="1"/>
  <c r="E18" i="1"/>
  <c r="D18" i="1"/>
  <c r="E17" i="1"/>
  <c r="D17" i="1"/>
  <c r="E15" i="1"/>
  <c r="D15" i="1"/>
  <c r="E14" i="1"/>
  <c r="D14" i="1"/>
  <c r="E9" i="1"/>
  <c r="D9" i="1"/>
  <c r="E8" i="1"/>
  <c r="D8" i="1"/>
  <c r="D416" i="2"/>
  <c r="E416" i="2"/>
  <c r="D401" i="2"/>
  <c r="E401" i="2"/>
  <c r="D386" i="2"/>
  <c r="E386" i="2"/>
  <c r="D370" i="2"/>
  <c r="E370" i="2"/>
  <c r="E351" i="2"/>
  <c r="D296" i="2"/>
  <c r="E296" i="2"/>
  <c r="D280" i="2"/>
  <c r="D477" i="2" s="1"/>
  <c r="E280" i="2"/>
  <c r="E477" i="2" s="1"/>
  <c r="D261" i="2"/>
  <c r="D476" i="2" s="1"/>
  <c r="E261" i="2"/>
  <c r="E476" i="2" s="1"/>
  <c r="D247" i="2"/>
  <c r="D475" i="2" s="1"/>
  <c r="E247" i="2"/>
  <c r="E475" i="2" s="1"/>
  <c r="D231" i="2"/>
  <c r="D474" i="2" s="1"/>
  <c r="E231" i="2"/>
  <c r="E474" i="2" s="1"/>
  <c r="E213" i="2"/>
  <c r="E473" i="2" s="1"/>
  <c r="D184" i="2"/>
  <c r="E184" i="2"/>
  <c r="D168" i="2"/>
  <c r="E168" i="2"/>
  <c r="D130" i="2"/>
  <c r="E130" i="2"/>
  <c r="D114" i="2"/>
  <c r="E114" i="2"/>
  <c r="B5" i="3"/>
  <c r="C5" i="3"/>
  <c r="D71" i="2"/>
  <c r="E71" i="2"/>
  <c r="E92" i="1"/>
  <c r="D92" i="1"/>
  <c r="F47" i="2"/>
  <c r="F333" i="2"/>
  <c r="F46" i="2"/>
  <c r="F332" i="2"/>
  <c r="F202" i="2"/>
  <c r="F45" i="2"/>
  <c r="F44" i="2"/>
  <c r="F43" i="2"/>
  <c r="D116" i="1" l="1"/>
  <c r="F475" i="2"/>
  <c r="F477" i="2"/>
  <c r="F474" i="2"/>
  <c r="F476" i="2"/>
  <c r="B7" i="3"/>
  <c r="D470" i="2"/>
  <c r="B9" i="3"/>
  <c r="D472" i="2"/>
  <c r="C12" i="3"/>
  <c r="E479" i="2"/>
  <c r="B16" i="3"/>
  <c r="D483" i="2"/>
  <c r="C6" i="3"/>
  <c r="E469" i="2"/>
  <c r="C8" i="3"/>
  <c r="E471" i="2"/>
  <c r="C13" i="3"/>
  <c r="E480" i="2"/>
  <c r="B4" i="3"/>
  <c r="D467" i="2"/>
  <c r="B6" i="3"/>
  <c r="D469" i="2"/>
  <c r="C7" i="3"/>
  <c r="E470" i="2"/>
  <c r="C9" i="3"/>
  <c r="E472" i="2"/>
  <c r="B11" i="3"/>
  <c r="D478" i="2"/>
  <c r="C14" i="3"/>
  <c r="E481" i="2"/>
  <c r="C16" i="3"/>
  <c r="D16" i="3" s="1"/>
  <c r="E483" i="2"/>
  <c r="F483" i="2" s="1"/>
  <c r="D216" i="2"/>
  <c r="F216" i="2" s="1"/>
  <c r="D445" i="2"/>
  <c r="B14" i="3"/>
  <c r="D481" i="2"/>
  <c r="C4" i="3"/>
  <c r="E467" i="2"/>
  <c r="C15" i="3"/>
  <c r="E482" i="2"/>
  <c r="C11" i="3"/>
  <c r="E478" i="2"/>
  <c r="B13" i="3"/>
  <c r="D480" i="2"/>
  <c r="B15" i="3"/>
  <c r="D482" i="2"/>
  <c r="B8" i="3"/>
  <c r="D471" i="2"/>
  <c r="F471" i="2" s="1"/>
  <c r="E116" i="1"/>
  <c r="D351" i="2"/>
  <c r="D213" i="2"/>
  <c r="H203" i="2"/>
  <c r="J203" i="2" s="1"/>
  <c r="I156" i="2"/>
  <c r="E96" i="1"/>
  <c r="E97" i="1" s="1"/>
  <c r="D95" i="1"/>
  <c r="H156" i="2"/>
  <c r="C10" i="3"/>
  <c r="F247" i="2"/>
  <c r="F184" i="2"/>
  <c r="D5" i="3"/>
  <c r="F370" i="2"/>
  <c r="F296" i="2"/>
  <c r="F114" i="2"/>
  <c r="F386" i="2"/>
  <c r="E69" i="1"/>
  <c r="D69" i="1"/>
  <c r="F71" i="2"/>
  <c r="F416" i="2"/>
  <c r="F401" i="2"/>
  <c r="F280" i="2"/>
  <c r="F261" i="2"/>
  <c r="F231" i="2"/>
  <c r="F168" i="2"/>
  <c r="E418" i="2"/>
  <c r="F130" i="2"/>
  <c r="E102" i="1"/>
  <c r="E72" i="1" s="1"/>
  <c r="F54" i="1" s="1"/>
  <c r="D102" i="1"/>
  <c r="D72" i="1" s="1"/>
  <c r="F415" i="2"/>
  <c r="F414" i="2"/>
  <c r="F413" i="2"/>
  <c r="F412" i="2"/>
  <c r="F411" i="2"/>
  <c r="F410" i="2"/>
  <c r="F409" i="2"/>
  <c r="F408" i="2"/>
  <c r="F407" i="2"/>
  <c r="F406" i="2"/>
  <c r="F405" i="2"/>
  <c r="F404" i="2"/>
  <c r="F41" i="2"/>
  <c r="F270" i="2"/>
  <c r="F151" i="2"/>
  <c r="F148" i="2"/>
  <c r="F100" i="2"/>
  <c r="F99" i="2"/>
  <c r="F98" i="2"/>
  <c r="F40" i="2"/>
  <c r="F39" i="2"/>
  <c r="F38" i="2"/>
  <c r="D13" i="3" l="1"/>
  <c r="D14" i="3"/>
  <c r="D4" i="3"/>
  <c r="D6" i="3"/>
  <c r="D446" i="2"/>
  <c r="D96" i="1"/>
  <c r="D97" i="1" s="1"/>
  <c r="D8" i="3"/>
  <c r="F5" i="3"/>
  <c r="F478" i="2"/>
  <c r="F481" i="2"/>
  <c r="F472" i="2"/>
  <c r="F480" i="2"/>
  <c r="G5" i="3"/>
  <c r="D9" i="3"/>
  <c r="D15" i="3"/>
  <c r="D11" i="3"/>
  <c r="D7" i="3"/>
  <c r="E484" i="2"/>
  <c r="F467" i="2"/>
  <c r="B10" i="3"/>
  <c r="D10" i="3" s="1"/>
  <c r="D473" i="2"/>
  <c r="F473" i="2" s="1"/>
  <c r="F470" i="2"/>
  <c r="F469" i="2"/>
  <c r="F482" i="2"/>
  <c r="F53" i="1"/>
  <c r="B12" i="3"/>
  <c r="D12" i="3" s="1"/>
  <c r="D479" i="2"/>
  <c r="F213" i="2"/>
  <c r="F351" i="2"/>
  <c r="D418" i="2"/>
  <c r="F418" i="2" s="1"/>
  <c r="E101" i="1"/>
  <c r="I437" i="2"/>
  <c r="D101" i="1"/>
  <c r="H437" i="2"/>
  <c r="E70" i="1"/>
  <c r="J156" i="2"/>
  <c r="C17" i="3"/>
  <c r="E5" i="3" s="1"/>
  <c r="E108" i="1"/>
  <c r="E74" i="1" s="1"/>
  <c r="D108" i="1"/>
  <c r="D74" i="1" s="1"/>
  <c r="F360" i="2"/>
  <c r="F30" i="2"/>
  <c r="F320" i="2"/>
  <c r="F319" i="2"/>
  <c r="F318" i="2"/>
  <c r="F197" i="2"/>
  <c r="F192" i="2"/>
  <c r="F142" i="2"/>
  <c r="F29" i="2"/>
  <c r="F28" i="2"/>
  <c r="F27" i="2"/>
  <c r="F26" i="2"/>
  <c r="E89" i="1"/>
  <c r="E68" i="1" s="1"/>
  <c r="D89" i="1"/>
  <c r="D68" i="1" s="1"/>
  <c r="E428" i="2"/>
  <c r="D428" i="2"/>
  <c r="F24" i="2"/>
  <c r="F23" i="2"/>
  <c r="F191" i="2"/>
  <c r="F141" i="2"/>
  <c r="F22" i="2"/>
  <c r="F21" i="2"/>
  <c r="F20" i="2"/>
  <c r="D70" i="1" l="1"/>
  <c r="H5" i="3"/>
  <c r="D484" i="2"/>
  <c r="F484" i="2" s="1"/>
  <c r="F479" i="2"/>
  <c r="B17" i="3"/>
  <c r="D17" i="3" s="1"/>
  <c r="D88" i="1"/>
  <c r="H428" i="2"/>
  <c r="E107" i="1"/>
  <c r="I434" i="2"/>
  <c r="E88" i="1"/>
  <c r="I428" i="2"/>
  <c r="D107" i="1"/>
  <c r="H434" i="2"/>
  <c r="E8" i="3"/>
  <c r="E7" i="3"/>
  <c r="E12" i="3"/>
  <c r="E4" i="3"/>
  <c r="E9" i="3"/>
  <c r="E11" i="3"/>
  <c r="E16" i="3"/>
  <c r="E13" i="3"/>
  <c r="E6" i="3"/>
  <c r="E15" i="3"/>
  <c r="E14" i="3"/>
  <c r="E10" i="3"/>
  <c r="D426" i="2"/>
  <c r="E426" i="2"/>
  <c r="E86" i="1" s="1"/>
  <c r="E67" i="1" s="1"/>
  <c r="E425" i="2"/>
  <c r="D425" i="2"/>
  <c r="F311" i="2"/>
  <c r="F18" i="2"/>
  <c r="F17" i="2"/>
  <c r="F310" i="2"/>
  <c r="E83" i="1"/>
  <c r="E66" i="1" s="1"/>
  <c r="D83" i="1"/>
  <c r="D66" i="1" s="1"/>
  <c r="F15" i="2"/>
  <c r="F14" i="2"/>
  <c r="F188" i="2"/>
  <c r="F136" i="2"/>
  <c r="D86" i="1" l="1"/>
  <c r="D67" i="1" s="1"/>
  <c r="F59" i="1"/>
  <c r="F52" i="1"/>
  <c r="D85" i="1"/>
  <c r="H425" i="2"/>
  <c r="E82" i="1"/>
  <c r="I422" i="2"/>
  <c r="D82" i="1"/>
  <c r="H422" i="2"/>
  <c r="E85" i="1"/>
  <c r="F58" i="1" s="1"/>
  <c r="I425" i="2"/>
  <c r="E111" i="1"/>
  <c r="E75" i="1" s="1"/>
  <c r="F55" i="1" s="1"/>
  <c r="D111" i="1"/>
  <c r="D75" i="1" s="1"/>
  <c r="E450" i="2"/>
  <c r="D450" i="2"/>
  <c r="F369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70" i="2"/>
  <c r="F350" i="2"/>
  <c r="F349" i="2"/>
  <c r="F348" i="2"/>
  <c r="F167" i="2"/>
  <c r="F164" i="2"/>
  <c r="F113" i="2"/>
  <c r="F112" i="2"/>
  <c r="F69" i="2"/>
  <c r="F68" i="2"/>
  <c r="F67" i="2"/>
  <c r="F66" i="2"/>
  <c r="F57" i="1" l="1"/>
  <c r="E110" i="1"/>
  <c r="I450" i="2"/>
  <c r="D110" i="1"/>
  <c r="H450" i="2"/>
  <c r="E105" i="1"/>
  <c r="E73" i="1" s="1"/>
  <c r="D105" i="1"/>
  <c r="D73" i="1" s="1"/>
  <c r="D104" i="1" l="1"/>
  <c r="H431" i="2"/>
  <c r="E104" i="1"/>
  <c r="I431" i="2"/>
  <c r="E420" i="2"/>
  <c r="D80" i="1"/>
  <c r="D65" i="1" s="1"/>
  <c r="D77" i="1" s="1"/>
  <c r="E419" i="2"/>
  <c r="F199" i="2"/>
  <c r="F198" i="2"/>
  <c r="E80" i="1" l="1"/>
  <c r="E65" i="1" s="1"/>
  <c r="E77" i="1" s="1"/>
  <c r="E79" i="1"/>
  <c r="I419" i="2"/>
  <c r="D458" i="2"/>
  <c r="D79" i="1"/>
  <c r="D63" i="1" s="1"/>
  <c r="F303" i="2"/>
  <c r="F12" i="2"/>
  <c r="F11" i="2"/>
  <c r="F9" i="2"/>
  <c r="F301" i="2"/>
  <c r="F135" i="2"/>
  <c r="F212" i="2"/>
  <c r="F209" i="2"/>
  <c r="F205" i="2"/>
  <c r="F204" i="2"/>
  <c r="F201" i="2"/>
  <c r="F200" i="2"/>
  <c r="F193" i="2"/>
  <c r="F190" i="2"/>
  <c r="F189" i="2"/>
  <c r="F137" i="2"/>
  <c r="F187" i="2"/>
  <c r="F302" i="2"/>
  <c r="F10" i="2"/>
  <c r="F8" i="2"/>
  <c r="F7" i="2"/>
  <c r="F134" i="2"/>
  <c r="F368" i="2"/>
  <c r="F367" i="2"/>
  <c r="F366" i="2"/>
  <c r="F365" i="2"/>
  <c r="F364" i="2"/>
  <c r="F363" i="2"/>
  <c r="F361" i="2"/>
  <c r="F359" i="2"/>
  <c r="F358" i="2"/>
  <c r="F357" i="2"/>
  <c r="F356" i="2"/>
  <c r="F256" i="2"/>
  <c r="F325" i="2"/>
  <c r="F36" i="2"/>
  <c r="F223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47" i="2"/>
  <c r="F96" i="2"/>
  <c r="F95" i="2"/>
  <c r="F35" i="2"/>
  <c r="F33" i="2"/>
  <c r="F85" i="2"/>
  <c r="F84" i="2"/>
  <c r="F83" i="2"/>
  <c r="F82" i="2"/>
  <c r="F81" i="2"/>
  <c r="F80" i="2"/>
  <c r="F79" i="2"/>
  <c r="F78" i="2"/>
  <c r="F77" i="2"/>
  <c r="F76" i="2"/>
  <c r="F75" i="2"/>
  <c r="F74" i="2"/>
  <c r="F32" i="2"/>
  <c r="F34" i="2"/>
  <c r="F146" i="2"/>
  <c r="F347" i="2"/>
  <c r="F346" i="2"/>
  <c r="F344" i="2"/>
  <c r="F343" i="2"/>
  <c r="F340" i="2"/>
  <c r="F339" i="2"/>
  <c r="F331" i="2"/>
  <c r="F330" i="2"/>
  <c r="F329" i="2"/>
  <c r="F328" i="2"/>
  <c r="F322" i="2"/>
  <c r="F321" i="2"/>
  <c r="F317" i="2"/>
  <c r="F313" i="2"/>
  <c r="F312" i="2"/>
  <c r="F309" i="2"/>
  <c r="F308" i="2"/>
  <c r="F307" i="2"/>
  <c r="F300" i="2"/>
  <c r="F455" i="2"/>
  <c r="F454" i="2"/>
  <c r="F450" i="2"/>
  <c r="F444" i="2"/>
  <c r="F440" i="2"/>
  <c r="F434" i="2"/>
  <c r="F431" i="2"/>
  <c r="F425" i="2"/>
  <c r="F422" i="2"/>
  <c r="E458" i="2"/>
  <c r="F451" i="2"/>
  <c r="F441" i="2"/>
  <c r="F432" i="2"/>
  <c r="D459" i="2"/>
  <c r="F19" i="2"/>
  <c r="F385" i="2"/>
  <c r="F383" i="2"/>
  <c r="F382" i="2"/>
  <c r="F381" i="2"/>
  <c r="F380" i="2"/>
  <c r="F379" i="2"/>
  <c r="F378" i="2"/>
  <c r="F377" i="2"/>
  <c r="F376" i="2"/>
  <c r="F375" i="2"/>
  <c r="F374" i="2"/>
  <c r="F295" i="2"/>
  <c r="F294" i="2"/>
  <c r="F293" i="2"/>
  <c r="F292" i="2"/>
  <c r="F291" i="2"/>
  <c r="F290" i="2"/>
  <c r="F289" i="2"/>
  <c r="F288" i="2"/>
  <c r="F287" i="2"/>
  <c r="F286" i="2"/>
  <c r="F285" i="2"/>
  <c r="F299" i="2"/>
  <c r="F279" i="2"/>
  <c r="F278" i="2"/>
  <c r="F275" i="2"/>
  <c r="F274" i="2"/>
  <c r="F273" i="2"/>
  <c r="F271" i="2"/>
  <c r="F269" i="2"/>
  <c r="F268" i="2"/>
  <c r="F267" i="2"/>
  <c r="F266" i="2"/>
  <c r="F265" i="2"/>
  <c r="F264" i="2"/>
  <c r="F260" i="2"/>
  <c r="F259" i="2"/>
  <c r="F258" i="2"/>
  <c r="F257" i="2"/>
  <c r="F255" i="2"/>
  <c r="F254" i="2"/>
  <c r="F253" i="2"/>
  <c r="F252" i="2"/>
  <c r="F251" i="2"/>
  <c r="F250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0" i="2"/>
  <c r="F229" i="2"/>
  <c r="F228" i="2"/>
  <c r="F227" i="2"/>
  <c r="F226" i="2"/>
  <c r="F225" i="2"/>
  <c r="F224" i="2"/>
  <c r="F222" i="2"/>
  <c r="F221" i="2"/>
  <c r="F220" i="2"/>
  <c r="F219" i="2"/>
  <c r="F218" i="2"/>
  <c r="F165" i="2"/>
  <c r="F163" i="2"/>
  <c r="F159" i="2"/>
  <c r="F157" i="2"/>
  <c r="F153" i="2"/>
  <c r="F149" i="2"/>
  <c r="F145" i="2"/>
  <c r="F143" i="2"/>
  <c r="F140" i="2"/>
  <c r="F139" i="2"/>
  <c r="F133" i="2"/>
  <c r="F129" i="2"/>
  <c r="F127" i="2"/>
  <c r="F126" i="2"/>
  <c r="F125" i="2"/>
  <c r="F124" i="2"/>
  <c r="F123" i="2"/>
  <c r="F122" i="2"/>
  <c r="F121" i="2"/>
  <c r="F120" i="2"/>
  <c r="F119" i="2"/>
  <c r="F118" i="2"/>
  <c r="F117" i="2"/>
  <c r="F111" i="2"/>
  <c r="F107" i="2"/>
  <c r="F105" i="2"/>
  <c r="F103" i="2"/>
  <c r="F101" i="2"/>
  <c r="F97" i="2"/>
  <c r="F94" i="2"/>
  <c r="F93" i="2"/>
  <c r="F92" i="2"/>
  <c r="F91" i="2"/>
  <c r="F90" i="2"/>
  <c r="F89" i="2"/>
  <c r="F65" i="2"/>
  <c r="F59" i="2"/>
  <c r="F54" i="2"/>
  <c r="F48" i="2"/>
  <c r="F42" i="2"/>
  <c r="F37" i="2"/>
  <c r="F31" i="2"/>
  <c r="F25" i="2"/>
  <c r="F16" i="2"/>
  <c r="F13" i="2"/>
  <c r="F6" i="2"/>
  <c r="D460" i="2" l="1"/>
  <c r="F56" i="1"/>
  <c r="E63" i="1"/>
  <c r="F63" i="1" s="1"/>
  <c r="F426" i="2"/>
  <c r="F435" i="2"/>
  <c r="F445" i="2"/>
  <c r="E424" i="2"/>
  <c r="F423" i="2"/>
  <c r="F458" i="2"/>
  <c r="E430" i="2"/>
  <c r="E433" i="2"/>
  <c r="E436" i="2"/>
  <c r="D439" i="2"/>
  <c r="F429" i="2"/>
  <c r="F438" i="2"/>
  <c r="F448" i="2"/>
  <c r="E427" i="2"/>
  <c r="D430" i="2"/>
  <c r="D436" i="2"/>
  <c r="E449" i="2"/>
  <c r="E452" i="2"/>
  <c r="F456" i="2"/>
  <c r="D427" i="2"/>
  <c r="E439" i="2"/>
  <c r="E442" i="2"/>
  <c r="E446" i="2"/>
  <c r="D449" i="2"/>
  <c r="F419" i="2"/>
  <c r="F428" i="2"/>
  <c r="F437" i="2"/>
  <c r="F447" i="2"/>
  <c r="E421" i="2"/>
  <c r="D424" i="2"/>
  <c r="D433" i="2"/>
  <c r="D442" i="2"/>
  <c r="D452" i="2"/>
  <c r="D421" i="2"/>
  <c r="F424" i="2" l="1"/>
  <c r="F439" i="2"/>
  <c r="F446" i="2"/>
  <c r="F449" i="2"/>
  <c r="F421" i="2"/>
  <c r="F442" i="2"/>
  <c r="F430" i="2"/>
  <c r="F427" i="2"/>
  <c r="F433" i="2"/>
  <c r="E459" i="2"/>
  <c r="E460" i="2" s="1"/>
  <c r="F420" i="2"/>
  <c r="F452" i="2"/>
  <c r="F436" i="2"/>
  <c r="F459" i="2" l="1"/>
  <c r="F460" i="2"/>
  <c r="F44" i="1" l="1"/>
  <c r="F70" i="1"/>
  <c r="D48" i="1"/>
  <c r="F34" i="1"/>
  <c r="F72" i="1"/>
  <c r="F31" i="1"/>
  <c r="F74" i="1"/>
  <c r="F40" i="1"/>
  <c r="F37" i="1"/>
  <c r="F104" i="1"/>
  <c r="F91" i="1"/>
  <c r="E87" i="1"/>
  <c r="D103" i="1"/>
  <c r="E48" i="1"/>
  <c r="B113" i="1"/>
  <c r="B110" i="1"/>
  <c r="B107" i="1"/>
  <c r="B104" i="1"/>
  <c r="B101" i="1"/>
  <c r="B98" i="1"/>
  <c r="B94" i="1"/>
  <c r="B88" i="1"/>
  <c r="B85" i="1"/>
  <c r="B82" i="1"/>
  <c r="B79" i="1"/>
  <c r="B46" i="1"/>
  <c r="E10" i="1"/>
  <c r="D47" i="1"/>
  <c r="F76" i="1"/>
  <c r="F75" i="1"/>
  <c r="F73" i="1"/>
  <c r="F71" i="1"/>
  <c r="F69" i="1"/>
  <c r="F67" i="1"/>
  <c r="F66" i="1"/>
  <c r="F65" i="1"/>
  <c r="F43" i="1"/>
  <c r="E41" i="1"/>
  <c r="D41" i="1"/>
  <c r="F39" i="1"/>
  <c r="D38" i="1"/>
  <c r="F36" i="1"/>
  <c r="D35" i="1"/>
  <c r="F33" i="1"/>
  <c r="D32" i="1"/>
  <c r="F30" i="1"/>
  <c r="E29" i="1"/>
  <c r="D29" i="1"/>
  <c r="F28" i="1"/>
  <c r="F27" i="1"/>
  <c r="F25" i="1"/>
  <c r="F24" i="1"/>
  <c r="E22" i="1"/>
  <c r="D22" i="1"/>
  <c r="F21" i="1"/>
  <c r="F20" i="1"/>
  <c r="E19" i="1"/>
  <c r="D19" i="1"/>
  <c r="F18" i="1"/>
  <c r="F17" i="1"/>
  <c r="E16" i="1"/>
  <c r="D16" i="1"/>
  <c r="F15" i="1"/>
  <c r="F14" i="1"/>
  <c r="E13" i="1"/>
  <c r="D13" i="1"/>
  <c r="F12" i="1"/>
  <c r="F11" i="1"/>
  <c r="F9" i="1"/>
  <c r="D10" i="1"/>
  <c r="D49" i="1" l="1"/>
  <c r="F115" i="1"/>
  <c r="F105" i="1"/>
  <c r="E106" i="1"/>
  <c r="E100" i="1"/>
  <c r="F95" i="1"/>
  <c r="E103" i="1"/>
  <c r="F103" i="1" s="1"/>
  <c r="F101" i="1"/>
  <c r="D90" i="1"/>
  <c r="F85" i="1"/>
  <c r="E84" i="1"/>
  <c r="E81" i="1"/>
  <c r="F83" i="1"/>
  <c r="F82" i="1"/>
  <c r="D84" i="1"/>
  <c r="F99" i="1"/>
  <c r="F98" i="1"/>
  <c r="D100" i="1"/>
  <c r="E32" i="1"/>
  <c r="F32" i="1" s="1"/>
  <c r="E35" i="1"/>
  <c r="F35" i="1" s="1"/>
  <c r="E38" i="1"/>
  <c r="F38" i="1" s="1"/>
  <c r="F68" i="1"/>
  <c r="D81" i="1"/>
  <c r="F114" i="1"/>
  <c r="F97" i="1"/>
  <c r="F96" i="1"/>
  <c r="F86" i="1"/>
  <c r="D87" i="1"/>
  <c r="F87" i="1" s="1"/>
  <c r="F102" i="1"/>
  <c r="F92" i="1"/>
  <c r="D93" i="1"/>
  <c r="E93" i="1"/>
  <c r="F89" i="1"/>
  <c r="E112" i="1"/>
  <c r="D112" i="1"/>
  <c r="E90" i="1"/>
  <c r="F88" i="1"/>
  <c r="E119" i="1"/>
  <c r="F110" i="1"/>
  <c r="F108" i="1"/>
  <c r="D109" i="1"/>
  <c r="E109" i="1"/>
  <c r="F107" i="1"/>
  <c r="D106" i="1"/>
  <c r="E118" i="1"/>
  <c r="D119" i="1"/>
  <c r="F19" i="1"/>
  <c r="F29" i="1"/>
  <c r="F77" i="1"/>
  <c r="F48" i="1"/>
  <c r="F8" i="1"/>
  <c r="E47" i="1"/>
  <c r="E49" i="1" s="1"/>
  <c r="F13" i="1"/>
  <c r="F22" i="1"/>
  <c r="F10" i="1"/>
  <c r="F16" i="1"/>
  <c r="F26" i="1"/>
  <c r="F45" i="1"/>
  <c r="F41" i="1"/>
  <c r="E120" i="1" l="1"/>
  <c r="F106" i="1"/>
  <c r="F90" i="1"/>
  <c r="F100" i="1"/>
  <c r="F116" i="1"/>
  <c r="F93" i="1"/>
  <c r="F84" i="1"/>
  <c r="F81" i="1"/>
  <c r="D118" i="1"/>
  <c r="F79" i="1"/>
  <c r="F112" i="1"/>
  <c r="F111" i="1"/>
  <c r="F119" i="1"/>
  <c r="F109" i="1"/>
  <c r="F49" i="1"/>
  <c r="F47" i="1"/>
  <c r="F80" i="1"/>
  <c r="F118" i="1" l="1"/>
  <c r="D120" i="1"/>
  <c r="F120" i="1" s="1"/>
  <c r="B77" i="1" l="1"/>
  <c r="B117" i="1" s="1"/>
</calcChain>
</file>

<file path=xl/sharedStrings.xml><?xml version="1.0" encoding="utf-8"?>
<sst xmlns="http://schemas.openxmlformats.org/spreadsheetml/2006/main" count="1256" uniqueCount="437">
  <si>
    <t>Всего по краевым и поселенческим программам</t>
  </si>
  <si>
    <t>Итого по программам:</t>
  </si>
  <si>
    <t>Вышестеблиевское сельское поселение</t>
  </si>
  <si>
    <t>Ахтанизовское сельское поселение</t>
  </si>
  <si>
    <t>Голубицкое сельское поселение</t>
  </si>
  <si>
    <t>Запорожское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</si>
  <si>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</si>
  <si>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</si>
  <si>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</si>
  <si>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</si>
  <si>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Курчанское сельское поселение</t>
  </si>
  <si>
    <t>Краснострельское сельское поселение</t>
  </si>
  <si>
    <t>Фонталовское сельское поселение</t>
  </si>
  <si>
    <t>Темрюкское городское поселение</t>
  </si>
  <si>
    <t>Итого по программам поселений:</t>
  </si>
  <si>
    <t>х</t>
  </si>
  <si>
    <t>Количество реализуемых программ в поселениях</t>
  </si>
  <si>
    <t>Поселения Темрюкского района</t>
  </si>
  <si>
    <t>Источник финансирования</t>
  </si>
  <si>
    <t>Освоено за отчетный период, тыс. руб.</t>
  </si>
  <si>
    <t>Уточненный план на 2017 год, тыс. руб.</t>
  </si>
  <si>
    <t xml:space="preserve">краевой бюджет </t>
  </si>
  <si>
    <t>местный бюджет</t>
  </si>
  <si>
    <t>Исполнение муниципальных программ поселениями, в %</t>
  </si>
  <si>
    <t>Всего</t>
  </si>
  <si>
    <t>Муниципальные программы поселений</t>
  </si>
  <si>
    <t>ИТОГО по краевым и поселенческим программам</t>
  </si>
  <si>
    <t>Начальник управления экономики</t>
  </si>
  <si>
    <t>Е.А. Пожарская</t>
  </si>
  <si>
    <t>Наименование муниципальной программы</t>
  </si>
  <si>
    <t>Ахтанизовское</t>
  </si>
  <si>
    <t>Вышестеблиевское</t>
  </si>
  <si>
    <t>Голубицкое</t>
  </si>
  <si>
    <t>Краснострельское</t>
  </si>
  <si>
    <t>Курчанское</t>
  </si>
  <si>
    <t>Новотаманское</t>
  </si>
  <si>
    <t>Запорожское</t>
  </si>
  <si>
    <t>Сенное</t>
  </si>
  <si>
    <t>Старотитаровское</t>
  </si>
  <si>
    <t>Таманское</t>
  </si>
  <si>
    <t>Темрюкское</t>
  </si>
  <si>
    <t>Фонталовское</t>
  </si>
  <si>
    <t>Муниципальная программа "Развитие сферы культуры в Курчанском сельском поселении Темрюкского района на 2016-2018 годы"</t>
  </si>
  <si>
    <t>Муниципальная программа "Развитие муниципальной службы Курчанского сельского поселения Темрюкского района на 2016-2018 годы"</t>
  </si>
  <si>
    <t>Муниципальная программа "Развитие материально-технической базы администрации Курчанского сельского поселения Темрюкского района на 2016-2018 годы"</t>
  </si>
  <si>
    <t>ТОСы</t>
  </si>
  <si>
    <t>Муниципальная программа "Компенсационные выплаты руководителям органов территориального общественного самоуправления Курчанского сельского поселения Темрюкского района на 2016-2018 годы"</t>
  </si>
  <si>
    <t>Муниципальная программа "Развитие, эксплуатация и обслуживание информационно-коммуникационных технологий администрации Курчанского сельского поселения Темрюкского района на 2016-2018 годы"</t>
  </si>
  <si>
    <t>Муниципальная программа "Формирование доступной среды жизнедеятельности для инвалидов в Курчанском сельском поселении Темрюкского района на 2016-2018 годы"</t>
  </si>
  <si>
    <t>Муниципальная программа "Управление и контроль за муниципальным имуществом и земельными ресурсами на территории Курчанского сельского поселения Темрюкского района на 2016-2018 годы"</t>
  </si>
  <si>
    <t>Муниципальное имущество и земельные ресурсы</t>
  </si>
  <si>
    <t>Муниципальная программа "Обеспечение информационного освещения деятельности администрации Курчанского сельского поселения Темрюкского района на 2016-2018 годы"</t>
  </si>
  <si>
    <t>Муниципальная программа "Защита населения и территорий Курчанского сельского поселения Темрюкского района от чрезвычайных ситуаций на 2016-2018 годы"</t>
  </si>
  <si>
    <t>Муниципальная программа "Обеспечение первичных мер пожарной безопасности в Курчанском сельском поселении Темрюкского района на 2016-2018 годы"</t>
  </si>
  <si>
    <t>Муниципальная программа "Укрепление правопорядка, профилактика правонарушений, усиление борьбы с преступностью в Курчанском сельском поселении Темрюкского района на 2016-2018 годы"</t>
  </si>
  <si>
    <t>Муниципальная программа «Противодействие коррупции в органах местного самоуправления Курчанского сельского поселения Темрюкского района на 2016-2018 годы»</t>
  </si>
  <si>
    <t>Муниципальная программа "Повышение безопасности дорожного движения на территории Курчанского сельского поселения Темрюкского района на 2016-2018 годы"</t>
  </si>
  <si>
    <t>Муниципальная программа «Поддержка малого и среднего предпринимательства в Курчанском сельском поселении Темрюкского района на 2016-2018 годы»</t>
  </si>
  <si>
    <t>Муниципальная программа "Развитие водоснабжения населенных пунктов Курчанского сельского поселения Темрюкского района на 2016-2018 годы"</t>
  </si>
  <si>
    <t>Муниципальная программа "Газификация Курчанского сельского поселения Темрюкского района на 2016-2018 годы"</t>
  </si>
  <si>
    <t>Муниципальная программа "Благоустройство территории Курчанского сельского поселения Темрюкского района на 2016-2018 годы"</t>
  </si>
  <si>
    <t>Муниципальная программа "Развитие систем наружного освещения Курчанского сельского поселения Темрюкского района на 2016-2018 годы"</t>
  </si>
  <si>
    <t>Муниципальная программа "Молодежь Курчанского сельского поселения Темрюкского района на 2016-2018 годы"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</si>
  <si>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Курчанского сельского поселения Темрюкского района на 2016-2018 годы"</t>
  </si>
  <si>
    <t>Муниципальная программа "Энергоснабжение и повышение энергетической эффективности на территории Курчанского сельского поселения Темрюкского района на 2017-209 годы"</t>
  </si>
  <si>
    <t>Муниципальная программа "Развитие массового спорта в Курчанском сельском поселении Темрюкского района на 2016-2018 года"</t>
  </si>
  <si>
    <t>Строительство, реконструкция, капитальный ремонт и ремонт  автомобильных дорог общего пользования местного значения на территории Краснодарского края</t>
  </si>
  <si>
    <t>Муниципальная программа "Эффективное муниципальное управление"</t>
  </si>
  <si>
    <t>Муниципальная программа «Обеспечение информационного освещения деятельности администрации Ахтанизовского сельского поселения Темрюкского района»</t>
  </si>
  <si>
    <t xml:space="preserve">Муниципальная программа "Мероприятия праздничных дней и памятных дат в Ахтанизовском сельском поселении Темрюкского района" </t>
  </si>
  <si>
    <t>Муниципальная программа "Компенсационные выплаты руководителям органов территориального общественного самоуправления Ахтанизовского сельского поселения Темрюкского района"</t>
  </si>
  <si>
    <t xml:space="preserve"> Муниципальная программа "Обеспечение безопасности населения Ахтанизовского сельского поселения Темрюкского района"</t>
  </si>
  <si>
    <t>Муниципальная программа "Поддержка  малого и среднего предпринимательства на территории Ахтанизовского сельского поселения Темрюкского района"</t>
  </si>
  <si>
    <t>Муниципальная программа «Развитие, эксплуатация и обслуживание информационно-коммуникационных технологий администрации Ахтанизовского сельского поселения Темрюкского района»</t>
  </si>
  <si>
    <t xml:space="preserve"> Муниципальная программа "Создание доступной среды для инвалидов и других маломобильных групп населения в Ахтанизовском сельском поселении Темрюкского района" </t>
  </si>
  <si>
    <t>Муниципальная программа "Сохранение и охрана объектов культурного наследия (памятников истории и культуры) местного значения Ахтанизовского сельского поселения Темрюкского района"</t>
  </si>
  <si>
    <t>Муниципальная программа "Развитие жилищно-коммунального хозяйства Ахтанизовского сельского поселения Темрюкского района"</t>
  </si>
  <si>
    <t>Муниципальная программа "Развитие сети автомобильных дорог  Ахтанизовского сельского поселения Темрюкского района"</t>
  </si>
  <si>
    <t>Муниципальная программа "Развитие физической культуры и массового спорта в Ахтанизовском сельском поселении Темрюкского района"</t>
  </si>
  <si>
    <t>Муниципальная программа "Молодежь ст. Ахтанизовской" Ахтанизовского сельского поселения Темрюкского района</t>
  </si>
  <si>
    <t>Муниципальная программа "Развитие культуры Ахтанизовского сельского поселения Темрюкского района"</t>
  </si>
  <si>
    <t>Муниципальная программа "Материально-техническое обеспечение деятельности администрации Ахтанизовского сельского поселения Темрюкского района"</t>
  </si>
  <si>
    <t>Муниципальная программа "Ремонт здания администрации Ахтанизовского сельского поселения Темрюкского района"</t>
  </si>
  <si>
    <t>Муниципальная программа "Развитие систем наружного освещения Ахтанизовского сельского поселения Темрюкского района"</t>
  </si>
  <si>
    <t>Муниципальная программа "Газификация Ахтанизовского сельского поселения Темрюкского района"</t>
  </si>
  <si>
    <t>Муниципальная программа "Пенсионное обеспечение за выслугу лет лицам, замещающим муниципальные должности и должности муниципальных служащих Ахтанизовского сельского поселения Темрюкского района"</t>
  </si>
  <si>
    <t>Муниципальная программа "Ремонт здания Дома культуры в ст. Ахтанизовской Ахтанизовского сельского поселения Темрюкского района"</t>
  </si>
  <si>
    <t>Молодежная политика</t>
  </si>
  <si>
    <t>Малый бизнес</t>
  </si>
  <si>
    <t>Водоснабжение. Водоотведение</t>
  </si>
  <si>
    <t>Газификация</t>
  </si>
  <si>
    <t>Наружное освещение</t>
  </si>
  <si>
    <t>Обеспечение жильем и земельными участками</t>
  </si>
  <si>
    <t>Муниципальная программа "Капитальный ремонт здания администрации Фонталовского сельского поселения Темрюкского района в 2017 году"</t>
  </si>
  <si>
    <t>Муниципальная программа "Компенсационные выплаты руководителям органов территориального общественного самоуправления Фонталовского сельского поселения Темрюкского района на 2017 год"</t>
  </si>
  <si>
    <t>Муниципальная программа "Обеспечение первичных мер пожарной безопасности на территории Фонталовского сельского поселения Темрюкского района на 2017 год"</t>
  </si>
  <si>
    <t>Муниципальная программа "Укрепление правопорядка, профилактика правонарушений и усиление борьбы с преступностью в Фонталовском сельском поселении Темрюкского района на 2017 год"</t>
  </si>
  <si>
    <t>Муниципальная программа "Противодействие злоупотреблению наркотиков и их незаконному обороту в Фонталовском сельском поселении Темрюкского района на 2017 год"</t>
  </si>
  <si>
    <t>Муниципальная программа "Капитальный ремонт и ремонт автомобильных дорог на территории Фонталовского сельского поселения Темрюкского района на 2017 год"</t>
  </si>
  <si>
    <t>Муниципальная программа "Повышение безопасности дорожного движения на территории Фонталовского сельского поселения Темрюкского района на 2017 год"</t>
  </si>
  <si>
    <t>Муниципальная программа "Поддержка и развитие малого и среднего предпринимательства на территории Фонталовского сельского поселения Темрюкского района на 2017 год"</t>
  </si>
  <si>
    <t>Муниципальная программа "Водоснабжение Фонталовского сельского поселения Темрюкского района на 2017 год"</t>
  </si>
  <si>
    <t xml:space="preserve"> Муниципальная программа "Газификация Фонталовского сельского поселения Темрюкского района на 2017 год"</t>
  </si>
  <si>
    <t>Муниципальная программа "Развитие систем наружного освещения в Фонталовском сельском поселении Темрюкского района в 2017 году"</t>
  </si>
  <si>
    <t>Муниципальная программа "Благоустройство территории Фонталовского сельского поселения Темрюкского района на 2017 год"</t>
  </si>
  <si>
    <t>Муниципальная программа "Реализации государственной молодежной политики в Фонталовском сельском поселении Темрюкского района "Молодежь Тамани" на 2017 год"</t>
  </si>
  <si>
    <t>Муниципальная программа "Развитие культуры Фонталовского сельского поселения Темрюкского района на 2017 год"</t>
  </si>
  <si>
    <t>Муниципальная программа "Кадровое обеспечение сферы культуры и искусства Фонталовского сельского поселения Темрюкского района на 2017 год"</t>
  </si>
  <si>
    <t>Муниципальная прграмма "Поддержка клубных учреждений Фонталовского сельского поселения Темрюкского района в 2017 году"</t>
  </si>
  <si>
    <t>Муниципальная программа "Сохранение, использование и охрана объектов культурного наследия (памятников истории и культуры) местного значения, расположенных на территории Фонталовского сельского поселения Темрюкского района на 2017 год"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</si>
  <si>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Фонталовского сельского поселения Темрюкского района на 2017 год"</t>
  </si>
  <si>
    <t>Муниципальная программа "Поддержка социально ориентированных некоммерческих организаций, осуществляющих свою деятельность на территории Фонталовского сельского поселения Темрюкского района на 2017 год"</t>
  </si>
  <si>
    <t>Прочие</t>
  </si>
  <si>
    <t>Муниципальная программа "Формирование доступной среды жизнедеятельности для инвалидов в Фонталовском сельском поселении Темрюкского района на 2017 год"</t>
  </si>
  <si>
    <t>Муниципальная программа "Развитие массового спорта в Фонталовском сельском поселении Темрюкского района на 2017 год"</t>
  </si>
  <si>
    <t>Муниципальная программа «Комплексное развитие Вышестеблиевского сельского поселения Темрюкского района в сфере строительства, архитектуры и дорожного хозяйства»</t>
  </si>
  <si>
    <t>Муниципальная программа Вышестеблиевского сельского поселения "Поддержка и развитие малого и среднего предпринимательства в Вышестеблиевском сельском поселении Темрюкского района"</t>
  </si>
  <si>
    <t>Муниципальная программа «Поддержка социально ориентированных некоммерческих организаций, осуществляющих деятельность на территории Вышестеблиевского сельского поселения Темрюкского района»</t>
  </si>
  <si>
    <t>Муниципальная программа "Молодежь   Вышестеблиевского сельского поселения Темрюкского района "</t>
  </si>
  <si>
    <t>Муниципальная программа "Развитие культуры Вышестеблиевского сельского поселения Темрюкского района"</t>
  </si>
  <si>
    <t>Муниципальная программа "Социальная поддержка граждан Вышестеблиевского сельского поселения Темрюкского района"</t>
  </si>
  <si>
    <t>Муниципальная программа "Развитие массового спорта в Вышестеблиевском сельском поселении Темрюкского района на 2017 год"</t>
  </si>
  <si>
    <t>Муниципальная программа "Обеспечение безопасности  Вышестеблиевского сельскогопоселения Темрюкского района "</t>
  </si>
  <si>
    <t>Муниципальная программа "Развитие, эксплуатация и обслуживание информационно-коммуникационных технологий администрации Вышестеблиевского сельского поселения Темрюкского района "</t>
  </si>
  <si>
    <t>Муниципальная программа «Обеспечение безопасности населения Голубицкого сельского поселения Темрюкского района»</t>
  </si>
  <si>
    <t xml:space="preserve">Муниципальная программа «Поддержка малого и среднего предпринимательства в Голубицком сельском поселении Темрюкского района" </t>
  </si>
  <si>
    <t xml:space="preserve">Муниципальная программа "Развитие культуры  Голубицкого сельского поселения Темрюкского района" </t>
  </si>
  <si>
    <t xml:space="preserve">Муниципальная программа Голубицкого сельского поселения Темрюкского района «Развитие информационного общества» </t>
  </si>
  <si>
    <t xml:space="preserve"> Муниципальная программа Голубицкого сельского поселения Темрюкского района «Развитие жилищно-коммунального хозяйства" </t>
  </si>
  <si>
    <t xml:space="preserve">Муниципальная программа «Развитие физической культуры и массового спорта в Голубицком сельском поселении Темрюкского района» </t>
  </si>
  <si>
    <t>Муниципальная программа «Реализация молодежной политики в Голубицком сельском поселении Темрюкского района»</t>
  </si>
  <si>
    <t xml:space="preserve">Муниципальная программа «Пенсионное обеспечение за выслугу лет лицам, замещавших муниципальные должности и должности муниципальных служащих Голубицкого сельского поселения Темрюкского района» </t>
  </si>
  <si>
    <t xml:space="preserve">Муниципальная программа Голубицкого сельского поселения Темрюкского района «Эффективное муниципальное управление» </t>
  </si>
  <si>
    <t xml:space="preserve">Муниципальная программа «Сохранение, использование и охрана объектов культурного наследия (памятников истории и культуры) местного значения, и поддержка социально ориентированных некоммерческих организаций, расположенных на территории   Голубицкого сельского поселения Темрюкского района» </t>
  </si>
  <si>
    <t>Муниципальная программа  «Поддержка социально ориентированных некоммерческих организаций, осуществляющих деятельность на территории Голубицкого сельского поселения Темрюкского района»</t>
  </si>
  <si>
    <t>Муниципальная программа "Развитие культуры Запорожского сельского поселения Темрюкского района на 2017 год"</t>
  </si>
  <si>
    <t>Муниципальная программа Запорожского  сельского поселения Темрюкского района "Эффективное муниципальное управление на 2017 год Запорожского  сельского поселения Темрюкского района"</t>
  </si>
  <si>
    <t xml:space="preserve">Муниципальная  программа "Компенсационные выплаты руководителям органов территориальных общественного самоуправления Запорожского  сельского поселения Темрюкского района" на 2017 год </t>
  </si>
  <si>
    <t>Муниципальная программа "Развитие, эксплуатация и обслуживание информационно-коммуникационных технологий администрации Запорожского сельского поселения Темрюкского района на 2017 год"</t>
  </si>
  <si>
    <t>Муниципальная  программа "Обеспечение информационного освещения деятельности администрации Запорожского  сельского поселения Темрюкского района на 2017 год"</t>
  </si>
  <si>
    <t xml:space="preserve">Муниципальная программа "Капитальный и текущий ремонт здания администрации Запорожского  сельского поселения Темрюкского района на 2017 год" </t>
  </si>
  <si>
    <t>Муниципальная программа "Обеспечение безопасности населения в Запорожском  сельском поселении Темрюкского района на 2017 год"</t>
  </si>
  <si>
    <t>Муниципальная программа "Капитальный ремонт и ремонт автомобильных дорог на территории  Запорожского  сельского поселения Темрюкского района на 2017 год"</t>
  </si>
  <si>
    <t>Муниципальная программа "Повышение безопасности дорожного движения на территории Запорожского  сельского поселения Темрюкского района на 2017 год"</t>
  </si>
  <si>
    <t>Муниципальная программа Поддержка малого и среднего предпринимательства в Запорожскомсельском поселении Темрюкского района на 2016-2018 годы»</t>
  </si>
  <si>
    <t>Муниципальная программа "Развитие земельных и имущественных отношений Запорожского сельского поселения Темрюкского района на 2016-2018 годы"</t>
  </si>
  <si>
    <t>Муниципальная программа "Благоустройство территории Запорожского сельского поселения Темрюкского района на 2017 год»</t>
  </si>
  <si>
    <t>Муниципальная программа "Комплексное развитие систем коммунальной инфраструктуры Запорожского сельского поселения Темрюкского района на 2017 год"</t>
  </si>
  <si>
    <t>Муниципальная программа "Развитие водоснабжения и водоотведения Запорожского сельского поселения Темрюкского района на 2017 год"</t>
  </si>
  <si>
    <t>Муниципальная программа "Развитие  систем наружного освещения Запорожского сельского поселения Темрюкского района на 2015-2017 годы"</t>
  </si>
  <si>
    <t>Муниципальная программа «Пенсионное обеспечение за выслугу лет лицам, замещавшим муниципальные должности и должности муниципальных служащих Запорожского сельского поселения Темрюкского района на 2015-2017 годы»</t>
  </si>
  <si>
    <t>Муниципальная программа "Развитие массового спорта в Запорожском сельском поселении Темрюкского района на 2017 год"</t>
  </si>
  <si>
    <t>Муниципальная программа «Поддержка социально-ориентированных некоммерческих организаций, осуществляющих деятельность на территории Запорожского сельского поселения Темрюкского района на 2015-2017 годы»</t>
  </si>
  <si>
    <t>Муниципальная программа "Создание доступной среды для инвалидов и других маломобильных групп населения в Запорожском сельском поселении на 2017 год"</t>
  </si>
  <si>
    <t>Муниципальная программа «Молодежь Запорожского сельского поселения в Запорожском сельском поселении Темрюкского района на 2017 год»</t>
  </si>
  <si>
    <t>Муниципальная программа «Мероприятия праздничных дней и памятных дат, проводимых  администрацией  Запорожского  сельского поселения Темрюкского района на 2017 год»</t>
  </si>
  <si>
    <t>Муниципальная программа Краснострельского сельского поселения Темрюкского района "Эффективное муниципальное управление на 2017 год"</t>
  </si>
  <si>
    <t>Муниципальная программа Краснострельского сельского поселения Темрюкского района "Обеспечение функций муниципальных казенных учреждений на 2017 год"</t>
  </si>
  <si>
    <t>Муниципальная программа "Развитие, эксплуатация и обслуживание информационно-коммуникационных технологий администрации Краснострельского сельского поселения Темрюкского района на 2017 год"</t>
  </si>
  <si>
    <t>Муниципальная программа "Обеспечение информационного освещения деятельности администрации Краснострельского сельского поселения Темрюкского района на 2017 год"</t>
  </si>
  <si>
    <t>Муниципальная программа "Поддержка деятельности территориального общественного самоуправления на территории Краснострельского сельского поселения Темрюкского района на 2017 год"</t>
  </si>
  <si>
    <t>Муниципальная программа Краснострельского сельского поселения Темрюкского района "Предупреждение чрезвычайных ситуаций и обеспечение пожарной безопасности на территории Краснострельского сельского поселения Темрюкского района на 2017 год"</t>
  </si>
  <si>
    <t>Муниципальная программа "Энергосбережение и повышение энергетической эффективности на территории Краснострельского сельского поселения Темрюкского района на 2017 год"</t>
  </si>
  <si>
    <t>Муниципальная программа "По реализации молодежной политики в Краснострельском сельском поселении Темрюкского района на 2017 год"</t>
  </si>
  <si>
    <t>Муниципальная программа "Развитие культуры Краснострельского сельского поселения Темрюкского района на 2017 год"</t>
  </si>
  <si>
    <t>Муниципальная программа "Сохранение, использование и охрана объектов культурного наследия (памятников истории и культуры) местного значения, расположенных на территории Краснострельского сельского поселения Темрюкского района на 2017 год"</t>
  </si>
  <si>
    <t>Муниципальная программа Краснострельского сельского поселения Темрюкского района "Развитие жилищно-коммунального хозяйства на 2017 год"</t>
  </si>
  <si>
    <t>Муниципальная программа "Повышение безопасности дорожного движения на территории  Краснострельского сельского поселения Темрюкского района на 2017 год"</t>
  </si>
  <si>
    <t>Муниципальная программа "Подготовка землеустроительной документации на территории Краснострельского сельского поселения Темрюкского района на 2017 год"</t>
  </si>
  <si>
    <t>Муниципальная программа "Ремонт здания администрации Краснострельского сельского поселения Темрюкского района на 2017 год"</t>
  </si>
  <si>
    <t>Муниципальная программа "Пенсионное обеспечение за выслугу лет лицам, замещавшим муниципальные должности и должности  муниципальной службы Краснострельского сельского поселения Темрюкского района  на 2017 год"</t>
  </si>
  <si>
    <t>Муниципальная программа "Поддержка социально ориентированных некоммерческих организаций, осуществляющих деятельность на территории Краснострельского сельского поселения Темрюкского района  на 2017 год"</t>
  </si>
  <si>
    <t>Муниципальная программа "Развитие массового спорта в Краснострельском сельском поселении Темрюкского района  на 2017 год"</t>
  </si>
  <si>
    <t>Муниципальный программа "Социально-культурное развитие Новотаманского сельского поселения Темрюкского района на 2017 год"</t>
  </si>
  <si>
    <t>Муниципальная программа "Развитие, эксплуатация и обслуживание информационно-коммуникационных технологий администрации Новотаманского сельского поселения Темрюкского района на 2017 год"</t>
  </si>
  <si>
    <t>Муниципальная программа "Обеспечение информационного освещения деятельности администрации Новотаманского сельского поселения Темрюкского района на 2017 год"</t>
  </si>
  <si>
    <t>Муниципальная программа "Капитальный и текущий ремонт здания администрации Новотаманского сельского поселения Темрюкского района на 2017 год"</t>
  </si>
  <si>
    <t>Муниципальная программа "Противодействие коррупции в Новотаманском сельском поселении на 2017 год"</t>
  </si>
  <si>
    <t>Муниципальная программа "Комплексные меры противодействия незаконному потреблению и обороту наркотических средств на территории Новотаманского сельского поселения Темрюкского района на 2017 год"</t>
  </si>
  <si>
    <t>Муниципальная программа "Укрепление правопорядка, профилактика правонарушений и усиление борьбы с преступностью в Новотаманского сельском поселении Темрюкского района на 2017 год"</t>
  </si>
  <si>
    <t>Муниципальная программа "Повышение безопасности дорожного движения на территории Новотаманского сельского поселения Темрюкского района на 2017 год"</t>
  </si>
  <si>
    <t>Муниципальная программа "Поддержка малого и среднего предпринимательство в Новотаманском сельском поселении Темрюкского района" на 2017 год</t>
  </si>
  <si>
    <t>Муниципальная программа "О подготовке землеустроительной документации на территории Новотаманского сельского поселения Темрюкского района" на 2017 год</t>
  </si>
  <si>
    <t>Муниципальная программа "Благоустройство территории Новотаманского сельского поселения Темрюкского района на 2017 год"</t>
  </si>
  <si>
    <t>Муниципальная программа "Развитие и реконструкция (ремонт) систем наружного освещения населенных пунктов Новотаманского сельского поселения Темрюкского района 2017 год"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</si>
  <si>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Новотаманского сельского поселения Темрюкского района на 2015-2017 годы"</t>
  </si>
  <si>
    <t>Муниципальная программа "Развитие массового спорта на Тамани" на 2015-2017 годы Новотаманского сельского поселения Темрюкского района</t>
  </si>
  <si>
    <t>Поддержка социально ориентированных некоммерческих организаций</t>
  </si>
  <si>
    <t xml:space="preserve">Муниципальная программа "Решение социально-значисых задач Новотаманского сельского поселения на 2017 год" </t>
  </si>
  <si>
    <t>Муниципальная программа Сенного сельского поселения Темрюкского района «Эффективное муниципальное управление»</t>
  </si>
  <si>
    <t>Муниципальная программа «Развитие  архивного дела в Сенном сельском поселении Темрюкского района»</t>
  </si>
  <si>
    <t>Муниципальная программа "Обеспечение информационного освещения деятельности администрации Сенного сельского поселения Темрюкского района"</t>
  </si>
  <si>
    <t>Муниципальная программа «Развитие, эксплуатация и обслуживание информационно-коммуникационных технологий администрации Сенного сельского поселения Темрюкского района»</t>
  </si>
  <si>
    <t>Муниципальная программа «Формирование доступной среды в Сенном сельском поселении Темрюкского района на 2017 год»</t>
  </si>
  <si>
    <t>Муниципальная программа «Обеспечение безопасности населения Сенного сельского поселения Темрюкского района»</t>
  </si>
  <si>
    <t>Муниципальная программа «Поддержка малого и среднего предпринимательства на территории Сенного сельского поселения Темрюкского района</t>
  </si>
  <si>
    <t>Муниципальная программа «Развитие жилищно-коммунального хозяйства»</t>
  </si>
  <si>
    <t xml:space="preserve">Муниципальная программа «Молодежь Сенного сельского поселения Темрюкского района»  </t>
  </si>
  <si>
    <t xml:space="preserve">Муниципальная программа «Развитие культуры  Сенного сельского поселения Темрюкского района»                                                            </t>
  </si>
  <si>
    <t>Муниципальная программа «Мероприятия праздничных дней и памятных дат в Сенном сельском поселении Темрюкского района»</t>
  </si>
  <si>
    <t>Муниципальная программа «Сохранение, использование и популяризация памятников истории и культуры местного значения, расположенных на территории Сенного сельского поселения Темрюкского района»</t>
  </si>
  <si>
    <t>Муниципальная программа «Пенсионное обеспечение за выслугу лет лицам, замещавшим муниципальные должности и должности муниципальной службы администрации в Сенном сельском поселении Темрюкского района»</t>
  </si>
  <si>
    <t>Муниципальная программа «Развитие физической культуры и массового спорта в Сенном сельском поселении Темрюкского района»</t>
  </si>
  <si>
    <t>ИТОГО ПО РАЗДЕЛУ</t>
  </si>
  <si>
    <t>Муниципальная программа «Благоустройство территории  Сенного сельского поселения Темрюкского района»</t>
  </si>
  <si>
    <t>Муниципальная программа «Реализация муниципальных функций, связанных с муниципальным управлением» в Старотитаровском сельском поселении
 Темрюкского района на 2017 год.</t>
  </si>
  <si>
    <t>Муниципальная программа «Обеспечение функций муниципальных казенных учреждений» в Старотитаровском сельском поселении Темрюкского района на 2017 год.</t>
  </si>
  <si>
    <t>Муниципальная программа«Развитие информационного общества» в Старотитаровском сельском поселении Темрюкского района на 2017 год</t>
  </si>
  <si>
    <t>Муниципальная программа «Муниципальная политика и развитие гражданского общества»  в Старотитаровском сельском поселении Темрюкского района на 2017 год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</si>
  <si>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2017 год</t>
  </si>
  <si>
    <t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на 2017 год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</si>
  <si>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</si>
  <si>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Муниципальная  программа «Противодействие коррупции в Старотитаровском сельском поселении Темрюкского района» на 2017 год</t>
  </si>
  <si>
    <t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хозяйства»на 2017 год</t>
  </si>
  <si>
    <t>Муниципальная программа «О подготовке градостроительной и землеустроительной документации на территории  Старотитаровского сельского поселения Темрюкского района на 2017 год»</t>
  </si>
  <si>
    <t>Муниципальная программа «Поддержка и развитие малого и среднего предпринимательства» в Старотитаровском сельском поселении  Темрюкского района на 2017 год.</t>
  </si>
  <si>
    <t>Муниципальная программа  «Развитие жилищно-коммунального хозяйства» в Старотитаровском сельском поселении Темрюкского района на 2017 год</t>
  </si>
  <si>
    <t>Муниципальная программа «Развитие культуры Старотитаровского сельского поселения Темрюкского района» на 2017 год.</t>
  </si>
  <si>
    <t>Муниципальная программа "Сохранение, использование и охрана обьектов культурного наследия(памятников истории и культуры) местного значения, расположенных на территрии Старотиатровского сельского поселения Темрюкского районана 2017 год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</si>
  <si>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службы" Старотитаровского сельского поселения Темрюкского района на 2017 год</t>
  </si>
  <si>
    <t>Муниципальная программа "Поддержка социально ориентированных некомерческих организаций, осуществляющих свою деятельность на территории Старотитаровского сельского поселения Темрюкского района" на 2017 год</t>
  </si>
  <si>
    <t>Муниципальная программа «Развитие физической культуры и массового спорта на территории  Старотитаровского сельского поселения Темрюкского района на 2017 год.</t>
  </si>
  <si>
    <t>Удельный вес сфер реализации муниципальных программ</t>
  </si>
  <si>
    <t>наименование разделов</t>
  </si>
  <si>
    <t>план</t>
  </si>
  <si>
    <t>факт</t>
  </si>
  <si>
    <t>процент исполнения</t>
  </si>
  <si>
    <t>удельный вес фактического исполнения</t>
  </si>
  <si>
    <t>ИТОГО</t>
  </si>
  <si>
    <t>Муниципальная программа "Создание условий для эффективного функционирования системы органов местного самоуправления в Таманском сельском поселении Темрюкского района на 2016-2018 годы"</t>
  </si>
  <si>
    <t>Муниципальная программа "Компенсационные выплаты руководителям органов территориальных общественных самоуправлений Таманского сельского поселения Темрюкского района на 2016-2018 годы"</t>
  </si>
  <si>
    <t>Муниципальная программа "Развитие информационного общества в Таманском сельском поселении Темрюкского района на 2016-2018 годы"</t>
  </si>
  <si>
    <t>Муниципальная программа "Развитие архивного дела Таманского сельского поселения Темрюкского района на 2016-2018 годы"</t>
  </si>
  <si>
    <t>Муниципальная программа "Обеспечение безопасности населения в Таманском сельском поселении Темрюкского района на 2016-2018 годы"</t>
  </si>
  <si>
    <t>Муниципальная программа "Пожарная безопасность в Таманском сельском поселении Темрюкского района на 2016-2018 годы"</t>
  </si>
  <si>
    <t>Муниципальная программа "Ремонт и содержание автомобильных дорог местного значения Таманского сельского поселения Темрюкского района на 2016-2018 годы"</t>
  </si>
  <si>
    <t>Муниципальная программа "Поддержка малого и среднего предпринимательства в Таманском сельском поселении Темрюкского района на 2016-2018 годы»</t>
  </si>
  <si>
    <t>Муниципальная программа "Газификация Таманского сельского поселения Темрюкского района на 2016-2018 годы"</t>
  </si>
  <si>
    <t>Муниципальная программа "Развитие водоснабжения и водоотведения Таманского сельского поселения Темрюкского района на 2016-2018 годы"</t>
  </si>
  <si>
    <t>Муниципальная программа "Развитие и реконструкция (ремонт) систем наружного освещения Таманского сельского поселения Темрюкского района на 2016-2018 годы"</t>
  </si>
  <si>
    <t>Муниципальная программа "Благоустройство территории Таманского сельского поселения Темрюкского района на 2016-2018 годы"</t>
  </si>
  <si>
    <t>Муниципальная программа «Молодежь Тамани» в Таманском сельском поселении Темрюкского района на 2016-2018 годы»</t>
  </si>
  <si>
    <t>Муниципальная программа «Охрана и сохранение объектов историко-культурного наследия, расположенных на территории Таманского сельского поселения Темрюкского района на 2016-2018 годы»</t>
  </si>
  <si>
    <t>Муниципальная программа "Развитие культуры Таманского сельского поселения Темрюкского района на 2016-2018 годы"</t>
  </si>
  <si>
    <t>Муниципальная программа «Проведение праздников, смотров- конкурсов фестивалей в Таманском сельском поселении Темрюкского района на 2016-2018 годы»</t>
  </si>
  <si>
    <t>Муниципальная программа «Пенсионное обеспечение за выслугу лет лицам, замещавшим муниципальные должности и должности муниципальных служащих Таманского сельского поселения Темрюкского района на 2016-2018 годы»</t>
  </si>
  <si>
    <t>Муниципальная программа «Поддержка социально-ориентированных некоммерческих организаций, осуществляющих деятельность на территории Таманского сельского поселения Темрюкского района на 2016-2018 годы»</t>
  </si>
  <si>
    <t>Муниципальная программа "Развитие физической культуры и спорта в Таманском сельском поселении Темрюкского района на 2016-2018 годы"</t>
  </si>
  <si>
    <t>Муниципальная программа "Формирование доступной среды в Таманском сельском поселении Темрюкского района на 2016-2018 годы"</t>
  </si>
  <si>
    <t>Подпрограмма «Обеспечение жильем молодых семей» федеральной целевой программы «Жилище» на 2015 – 2020 годы</t>
  </si>
  <si>
    <t>Муниципальная программа Темрюкского городского поселения Темрюкского района «Управление муниципальным имуществом»</t>
  </si>
  <si>
    <t xml:space="preserve">Муниципальная программа Темрюкского городского поселения Темрюкского района «Календарь памятных дат» </t>
  </si>
  <si>
    <t>Муниципальная  программа Темрюкского городского поселения Темрюкского района «Обеспечение деятельности подведомственных муниципальных учреждений»</t>
  </si>
  <si>
    <t>Муниципальная программа Темрюкского городского поселения Темрюкского района «Компенсационные выплаты руководителям органов территориального общественного самоуправления»</t>
  </si>
  <si>
    <t>Муниципальная программа Темрюкского городского поселения Темрюкского района «Обеспечение информационного освещения деятельности органов местного самоуправления»</t>
  </si>
  <si>
    <t>Муниципальная программа Темрюкского городского поселения Темрюкского района «Материально-техническое обеспечение деятельности администрации Темрюкского городского поселения Темрюкского района»</t>
  </si>
  <si>
    <t>Муниципальная программа Темрюкского городского поселения Темрюкского района "Развитие, эксплуатация и обслуживание информационно- коммуникационных технологий"</t>
  </si>
  <si>
    <t>Муниципальная программа Темрюкского городского поселения Темрюкского района «Противодействие коррупции»</t>
  </si>
  <si>
    <t>Муниципальная программа  Темрюкского городского поселения Темрюкского района «Развитие муниципальной службы»</t>
  </si>
  <si>
    <t>Муниципальная программа Темрюкского городского поселения Темрюкского района  «Участие в предупреждении и ликвидации последствий чрезвычайных ситуаций»</t>
  </si>
  <si>
    <t>Муниципальная программа Темрюкского городского поселения Темрюкского района "Обеспечение первичных мер пожарной безопасности"</t>
  </si>
  <si>
    <t>Муниципальная программа Темрюкского городского поселения Темрюкского района "Профилактика терроризма и экстремизма"</t>
  </si>
  <si>
    <t>Муниципальная программа Темрюкского городского поселения Темрюкского района «Обеспечение равной доступности транспортных услуг населению»</t>
  </si>
  <si>
    <t>Муниципальная программа  Темрюкского городского поселения Темрюкского района «Повышение безопасности дорожного движения»</t>
  </si>
  <si>
    <t>Муниципальная программа Темрюкского городского поселения Темрюкского района "Подготовка градостроительной и землеустроительной документации"</t>
  </si>
  <si>
    <t>Муниципальная программа  Темрюкского городского поселения Темрюкского района "Поддержка малого и среднего предпринимательства"</t>
  </si>
  <si>
    <t>Муниципальная программа Темрюкского городского поселения Темрюкского района «Использование арендных платежей»</t>
  </si>
  <si>
    <t>Муниципальная программа  Темрюкского городского поселения Темрюкского района "Развитие систем водоснабжения"</t>
  </si>
  <si>
    <t>Муниципальная программа Темрюкского городского поселения Темрюкского района "Развитие газоснабжения"</t>
  </si>
  <si>
    <t>Муниципальная программа Темрюкского городского поселения Темрюкского района "Теплоснабжение"</t>
  </si>
  <si>
    <t>Муниципальная программа Темрюкского городского поселения Темрюкского района "Организация благоустройства территории"</t>
  </si>
  <si>
    <t>Муниципальная программа Темрюкского городского поселения Темрюкского района «Ритуальные услуги»</t>
  </si>
  <si>
    <t>Муниципальная программа Темрюкского городского поселения Темрюкского района «Молодежь Темрюка»</t>
  </si>
  <si>
    <t>Муниципальная программа Темрюкского городского поселения Темрюкского района «Развитие сферы культуры»</t>
  </si>
  <si>
    <t>Муниципальная программа Темрюкского городского поселения Темрюкского района "Адресная помощь гражданам, попавшим в трудную жизненную ситуацию"</t>
  </si>
  <si>
    <t>Муниципальная программа Темрюкского городского поселения Темрюкского района "Поддержка социально ориентированных некоммерческих организаций"</t>
  </si>
  <si>
    <t>Муниципальная программа Темрюкского городского поселения Темрюкского района "Формирование доступной среды для инвалидов и других маломобильных групп населения"</t>
  </si>
  <si>
    <t>Муниципальная программа Темрюкского городского поселения Темрюкского района «Развитие физической культуры и спорта»</t>
  </si>
  <si>
    <t>Муниципальная программа "Эффективное муниципальное управление на 2017 год Новотаманскосго сельского поселения Темрюкского района</t>
  </si>
  <si>
    <t xml:space="preserve">Государственная программа Краснодарского края «Развитие культуры»  с участием Ахтанизовского сельского поселения Темрюкского района
</t>
  </si>
  <si>
    <t>Муниципальная программа "Эффективное муниципальное управление" Вышестеблиевского сельского поселения Темрюкского района</t>
  </si>
  <si>
    <t xml:space="preserve">Муниципальная программа "Реализация муниципальных функций, связанных с муниципальным управлением на 2016-2018 годы" Курчанского сельского поселения Темрюкского района </t>
  </si>
  <si>
    <t>Муниципальная программа "Эффективное муниципальное управление на 2017 год" Фонталовского сельского поселения Темрюкского района</t>
  </si>
  <si>
    <t xml:space="preserve">Муниципальная программа "Развитие жилищно-коммунального хозяйства" Вышестеблиевского сельского поселения Темрюкского района </t>
  </si>
  <si>
    <t>без учета строки 185</t>
  </si>
  <si>
    <t>Муниципальная программа "Охрана и сохранение объектов культурного наследия, расположенных на территории Курчанского сельского поселения Темрюкского района на 2016-2018 годы"</t>
  </si>
  <si>
    <t xml:space="preserve">Государственная программа Краснодарского края «Развитие культуры»  с участием Сенного сельского поселения Темрюкского района
</t>
  </si>
  <si>
    <t>Государственная программа Краснодарского края «Развитие культуры» подпрограмма«Кадровое обеспечение сферы культуры и искусства») с участием Темрюкского городского поселения Темрюкского района</t>
  </si>
  <si>
    <t>Муниципальная программа "Компенсационные выплаты руководителям органов территориального общественного самоуправлениея Новотаманского сельского поселения Темрюкского района" на 2017 год</t>
  </si>
  <si>
    <t>разница факта от плана в сумме 55,3 тыс. руб.</t>
  </si>
  <si>
    <t>Муниципальная программа "Развитие сети автомобильных дорог Голубицкого сельського поселения Темрюкского района"</t>
  </si>
  <si>
    <t>Муниципальная программа «Комплексное развитие Вышестеблиевского сельского поселения Темрюкского района в сфере строительства, архитектуры и дорожного хозяйства» в рамках выполнения государственной программы Краснодарского края "Развитие сети автомобильных дорог"</t>
  </si>
  <si>
    <t>Муниципальная программа "Повышение безопасности дорожного движения на территории  Краснострельского сельского поселения Темрюкского района на 2017 год"в рамках выполнения государственной программы Краснодарского края "Развитие сети автомобильных дорог"</t>
  </si>
  <si>
    <t xml:space="preserve">Муниципальная программа «Капитальный ремонт и ремонт автомобильных дорог на территории Курчанского сельского поселения Темрюкского района» на 2016-2018 годы в рамках выполнения государственной программы Краснодарского края "Развитие сети автомобильных дорог"
</t>
  </si>
  <si>
    <t>Муниципальная программа  Темрюкского городского поселения Темрюкского района «Повышение безопасности дорожного движения»в рамках выполнения государственной программы Краснодарского края "Развитие сети автомобильных дорог"</t>
  </si>
  <si>
    <t>Муниципальная программа "Капитальный ремонт и ремонт автомобильных дорог на территории Фонталовского сельского поселения Темрюкского района на 2017 год" в рамках выполнения государственной программы Краснодарского края "Развитие сети автомобильных дорог"</t>
  </si>
  <si>
    <t>Итого, в том числе:</t>
  </si>
  <si>
    <t xml:space="preserve"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хозяйства»на 2017 год в рамках выполнения государственной программы Краснодарского края "Развитие сети автомобильных дорог" </t>
  </si>
  <si>
    <t xml:space="preserve">Муниципальная программа "Развитие инженерной инфраструктуры в Краснострельском сельском поселении Темрюкского района на 2017 год" </t>
  </si>
  <si>
    <t>Подпрограмма  "Формирование комфортной городской среды" Темрюкского городского поселения Темрюкского района в рамках государственной программы Краснодарского края "Развитие жилищно-коммунального хозяйства"</t>
  </si>
  <si>
    <t xml:space="preserve">федеральный бюджет </t>
  </si>
  <si>
    <t>Муниципальная программа "Газификация Новотаманского сельского поселения Темрюкского района на 2017 год"</t>
  </si>
  <si>
    <t>Муниципальная программа "Жилище" Новотаманского сельского поселения Темрюкского района на 2017 год</t>
  </si>
  <si>
    <t>Государственная программа Краснодарского края "Комплексное и устойчивое  развитие Краснодарского края в сфере строительства и архитектуры", подпрограмма "Жилище" с участием Новотаманского сельского поселения Темрюкского района</t>
  </si>
  <si>
    <t xml:space="preserve">Государственная программа Краснодарского края «Развитие культуры»  с участием Вышестеблиевского сельского поселения Темрюкского района
</t>
  </si>
  <si>
    <t xml:space="preserve">Государственная программа Краснодарского края «Развитие культуры»  с участие Голубицкого сельского поселения Темрюкского района
</t>
  </si>
  <si>
    <t xml:space="preserve">Государственная программа Краснодарского края «Развитие культуры»  с участие Запорожского сельского поселения Темрюкского района
</t>
  </si>
  <si>
    <t xml:space="preserve">Государственная программа Краснодарского края «Развитие культуры»  с участие Курчанского сельского поселения Темрюкского района
</t>
  </si>
  <si>
    <t xml:space="preserve">Государственная программа Краснодарского края «Развитие культуры»  с участие Новотаманского сельского поселения Темрюкского района
</t>
  </si>
  <si>
    <t xml:space="preserve">Государственная программа Краснодарского края «Развитие культуры»  с участием Старотитаровского сельского поселения Темрюкского района
</t>
  </si>
  <si>
    <t xml:space="preserve">Государственная программа Краснодарского края «Развитие культуры»  с участием Таманского сельского поселения Темрюкского района
</t>
  </si>
  <si>
    <t>Проверка по разделам</t>
  </si>
  <si>
    <t>общий бюджет</t>
  </si>
  <si>
    <t>ВСЕГО</t>
  </si>
  <si>
    <t>ИТОГО по федеральным, краевым и поселенческим программам</t>
  </si>
  <si>
    <t>федеральный бюджет</t>
  </si>
  <si>
    <t>Поддержка социально- ориентированных некоммерческих организаций</t>
  </si>
  <si>
    <t>Поддержка социально - ориентированных некоммерческих организаций</t>
  </si>
  <si>
    <t>Субсидии из краевого бюджета на осуществление полномочий</t>
  </si>
  <si>
    <t>Обеспечение деятельности органа местного самоуправления</t>
  </si>
  <si>
    <t>Обеспечение деятельности органов местного самоуправление</t>
  </si>
  <si>
    <t>Муниципальная программа "Капитальный ремонт и ремонт автомобильных дорог местного значения Новотаманского селського поселения Темрюкского района на 2017 год" в рамках выполнения государственной программы Краснодарского края "Развитие сети автомобильных дорог"</t>
  </si>
  <si>
    <t>Муниципальная программа "Капитальный ремонт и ремонт автомобильных дорог местного значения Новотаманского селського поселения Темрюкского района на 2017 год"</t>
  </si>
  <si>
    <t>Муниципальная программа "Развитие инженерной инфраструктуры в Краснострельском сельском поселении Темрюкского района на 2017 год" в рамках государственной программы Краснодарского края "Развитие топливно-энергетического комплекса"</t>
  </si>
  <si>
    <t>Муниципальная программа "Развитие инженерной инфраструктуры в Краснострельском сельском поселении Темрюкского района на 2017 год" в рамках государственной программы Краснодарского края "Развитие сельского хозяйства и регулирования рынков сельскохозяйственной продукции, сырья и продовольствия"</t>
  </si>
  <si>
    <t xml:space="preserve">Государственная программа Краснодарского края «Развитие культуры»  с участием Краснострельского сельского поселения Темрюкского района
</t>
  </si>
  <si>
    <t xml:space="preserve">Муниципальная программа "Развитие библиотеки Краснострельского сельского поселения Темрюкского района  на 2017 год"с участием Краснострельского сельского поселения Темрюкского района
</t>
  </si>
  <si>
    <t>Причины не исполнения муниципальных программ</t>
  </si>
  <si>
    <t>Работы выполнены, в результате проведенных торгов  сложилась экономия.</t>
  </si>
  <si>
    <t>Планировалось приобретение торговых павильонов для фермеров, площадка на которую планировалось установить торговые павильоны должна быть подготовлена за счет спонсорских средств, поскольку в 2017 году не нашлись данные спонсорские средства, торговые павильоны не были приобретены, мероприятие не выполнено.</t>
  </si>
  <si>
    <t>Не проведена проверка достоверности сметной стоимости на электроснабжение здания СДК пос. Таманский, целевые средства  в сумме 1382,4 тыс. рублей в январе 2018 года возвращены в бюджет МО ТР. Остаток средств в сумме 96,7 тыс. рублей оплачен в январе 2018 года по факту выполненной работы</t>
  </si>
  <si>
    <t>Оплата произведена по факту предоставления счетов на оплату.</t>
  </si>
  <si>
    <t xml:space="preserve">Оплата произведена по факту предоставленных счетов по обслуживанию объектов  газораспределения и газопотребления </t>
  </si>
  <si>
    <t>Лимиты доведены в конце года, контракт не заключен. Электронный аукцион по мероприятию «Газораспределительная сеть в границах улиц Шоссейной, Центральной, Скифской, Виноградной в пос. Веселовка, Темрюкского района»  не состоялся.</t>
  </si>
  <si>
    <t>Муниципальная программа «Обеспечение информационного освещения деятельности администрации Фонталовского сельского поселения Темрюкского района в 2017 году»</t>
  </si>
  <si>
    <t xml:space="preserve">Муниципальная программа "Развитие, эксплуатация и обслуживание информационно-коммуникационных технологий администрации Фонталовского сельского поселения Темрюкского района на 2017 году» </t>
  </si>
  <si>
    <t>Муниципальная программа «Мероприятия, проводимые администрацией Фонталовского сельского поселения Темрюкского района к праздничным дням и памятным датам на 2017 год.»</t>
  </si>
  <si>
    <t>Муниципальная программа «Молодежь станицы» Старотитаровского сельского поселения Темрюкского района на 2017 год</t>
  </si>
  <si>
    <t xml:space="preserve">Оплата в сумме 382,1 тыс. рублей произведена в январе 2018 года на основании представленных актов выполненных работ за 2017 год. Сложилась экономия средств в сумме 250,0 тыс. рублей  </t>
  </si>
  <si>
    <t>Денежные средства были перераспределены на ваыполнение мероприятий других муниципальных программ</t>
  </si>
  <si>
    <t>Работы выполнены, средства не профинансированы в полном объеме из-за экономиии, сложившейся в результате оптимизации цены поставки товаров, выполнения работ (оказания услуг) по итогам проведения конкурсных процедур</t>
  </si>
  <si>
    <t>Средства краевого бюджета не освоены в полном объеме за счет исключения части работ в связи с нецелесообразностью их выполнения.</t>
  </si>
  <si>
    <t>Из средств районного бюджета поселению выделены денежные средства в сумме 270,0 тыс. рублей, но в связи с тем, что перечисление бюджетных обязательств было произведено в декабре месяце 2017 года, освоение данных средств стало невозможным согласно срокам, установленным №44-ФЗ, и в январе 2018 года произведен возврат в бюджет муниципального образования Темрюкский район</t>
  </si>
  <si>
    <t xml:space="preserve">Денежные средства были перераспределены на выполнение мероприятий других муниципальных программ </t>
  </si>
  <si>
    <t xml:space="preserve">Работы по объекту «Капитальный ремонт кровли Дома Культуры».выполнены, средства не профинансированы в полном объеме из-за экономиии, сложившейся в результате оптимизации цены поставки товаров, выполнения работ (оказания услуг) по итогам проведения конкурсных процедур </t>
  </si>
  <si>
    <t>Из-за отсутствия возможности финансового обеспечения денежных обязательств по оплате за выставленные счета по коммунальным услугам за декабрь 2017 года, оплата произведена в текущем году</t>
  </si>
  <si>
    <t>Контракты заключены, услуги выполнены, но из-за отсутствия денежных средств в бюджете поселения оплата по предоставленным счетам за 2017 год  произведена в январе 2018 года.</t>
  </si>
  <si>
    <t>Оплата произведена по фактическим затратам финансового обеспечения администрации поселения. В январе 2018 года произведена оплата коммунальных платежей на основании  представленных счетов за 2017 год.</t>
  </si>
  <si>
    <t>Счета на оплату коммунальных платежей представлены в конце декабря 2017 года, оплата по ним произведена в январе 2018 года</t>
  </si>
  <si>
    <t>Бюджетные обязательства по техническому обслуживанию газового оборудования за декабрь 2017 года исполнены в январе 2018 года</t>
  </si>
  <si>
    <t xml:space="preserve">Оплата произведена по фактическим затратам финансового обеспечения администрации поселения. </t>
  </si>
  <si>
    <t>Бюджетные обязательства по  изготовлению листовок выполнены в январе 2018 года</t>
  </si>
  <si>
    <t>Бюджетные обязательства по заправке огнетушителей исполнены в январе 2018 года</t>
  </si>
  <si>
    <t>Оплата по контракту на изготовление стенда и листовок произведена в январе 2018 года</t>
  </si>
  <si>
    <t>Работы по монтажу ограждения тротуарной дорожки не выполнены, в связи с поиском подрядной организации в конце 2017 года, остаток денежных средств в сумме 149,5 тыс. рублей в январе 2018 года возвращен в бюджет муниципального образования Темрюкский район. Эти работы планируется выполнить в 2018 году.</t>
  </si>
  <si>
    <t>Бюджетные обязательства 2017 года по изготовлению листовок исполнены в январе 2018 года</t>
  </si>
  <si>
    <t>Оплата по предоставленным счетам за коммунальные услуги за 2017 год  произведена в январе 2018 года.</t>
  </si>
  <si>
    <t>Счета на оплату уличного освещения представлены в конце 2017 года, произведена оплата в январе 2018 года</t>
  </si>
  <si>
    <t>Оплата произведена по фактическому исполнению финансового обеспечения администрации поселения. В январе 2018 года произведена оплата в сумме 185,3 тыс. рублей на основании  представленных счетов по коммунальным платежам за 2017 год.</t>
  </si>
  <si>
    <t>Бюджетные обязательства по информационному освещению деятельности ОМС в газете "Курчанский Вестник" за декабрь 2017 года исполнены в январе 2018 года</t>
  </si>
  <si>
    <t>Услуги по сопровождению программного обеспечения деятельности ОМС за декабрь 2017 года исполнены в январе 2018 года</t>
  </si>
  <si>
    <t>Оплата произведена по фактическому исполнению финансового обеспечения подведомственного координатору учреждения</t>
  </si>
  <si>
    <t>Оплата произведена по фактическим затратам финансового обеспечения подведомственных координатору учреждения</t>
  </si>
  <si>
    <t xml:space="preserve">В январе текущего года произведена оплата на оказание транспортных услуг на основании  представленных счетов за 2017 год.  </t>
  </si>
  <si>
    <t xml:space="preserve">Оплата произведена на основании судебных решений </t>
  </si>
  <si>
    <t>В конце 2017 года проведены торги  по ремонту лестницы, срок выполнения работ обозначен в 2018 году</t>
  </si>
  <si>
    <t>Оплата произведена по фактическим затратам</t>
  </si>
  <si>
    <t xml:space="preserve">оплата произведена по фактическим затратам </t>
  </si>
  <si>
    <t>Оплата произведена по фактическим затратам финансового обеспечения администрации поселения. В январе 2018 года произведена оплата коммунальных платежей и ГСМ на основании  представленных счетов за 2017 год.</t>
  </si>
  <si>
    <t>Аукционы по компенсационному озеленению и благоустройству парковой зоны поселения  не проведены в 2017 году. Выполнение этих мероприятий запланировано на 1 полугодие 2018 года</t>
  </si>
  <si>
    <t>Оплата произведена по фактическому исполнению финансового обеспечения подведомственного координатору учреждения (сложилась экономия по расходам на комунальные услуги)</t>
  </si>
  <si>
    <t>За счет уменьшения фактических объемов выполненных работ сложилась экономия средств</t>
  </si>
  <si>
    <t xml:space="preserve">Муниципальная программа «Строительство, реконструкция, капитальный ремонт, ремонт и содержание автомобильных дорог местного значения Сенного сельского поселения Темрюкского района»  в рамках выполнения государственной программы Краснодарского края "Развитие сети автомобильных дорог"                                  </t>
  </si>
  <si>
    <t xml:space="preserve">Муниципальная программа «Строительство, реконструкция, капитальный ремонт, ремонт и содержание автомобильных дорог местного значения Сенного сельского поселения Темрюкского района»                                    </t>
  </si>
  <si>
    <t xml:space="preserve">Муниципальная программа «Повышение безопасности дорожного движения на территории Сенного сельского поселения Темрюкского района»                                    </t>
  </si>
  <si>
    <t>Выплаты производились исходя из фактически отработанного времени</t>
  </si>
  <si>
    <t>Муниципальная программа «Противодействие коррупции в Сенном сельском поселении Темрюкского района»</t>
  </si>
  <si>
    <t>Торги по  по асфальтированию ул. Октябрьской в ст-це Тамань проведены в конце 2017 года, заключен контракт со сроком исполнения в 2018 году</t>
  </si>
  <si>
    <t>Работы выполнены, средства не освоены в полном объеме из-за экономиии, сложившейся в результате оптимизации цены поставки товаров, выполнения работ (оказания услуг) по итогам проведения конкурсных процедур</t>
  </si>
  <si>
    <t xml:space="preserve">Сложилась экономия средств в результате проведения торгов по приобретению резервуара питьевой воды в сумме 30,6 тыс. рублей, остаток средств в сумме 13,9 тыс. рублей  оплачен в январе 2018 года за выполненные  работы в 2017 году. Возвращены в бюджет МО ТР в январе 2018 года средства в сумме 44,5 тыс. руб. </t>
  </si>
  <si>
    <t xml:space="preserve">Контракт на проведение государственной экспертизы заключен 20.12.2017 года со сроком выполнения в 2018 году.  Возвращены в бюджет МО ТР в январе 2018 года средства в сумме 350,0 тыс. руб. </t>
  </si>
  <si>
    <t>Работы выполнены, средства неосвоены в полном объеме из-за экономиии, сложившейся в результате оптимизации цены поставки товаров, выполнения работ (оказания услуг) по итогам проведения конкурсных процедур, средства в сумме 1,0 тыс. руб. возвращены в бюджет МО ТР в январе 2018 года</t>
  </si>
  <si>
    <t>Целевые денежные средства в сумме 500,0 тыс. рублей выделенные  на ремонт кровли административного здания в январе 2018 года  возвращены в бюджет МОТР в связи с длительностью проведения процедуры достоверности сметной стоимости</t>
  </si>
  <si>
    <t xml:space="preserve">Ожидаемые работы не были выполнены, счета на оплату не представлены. Целевые средства  в сумме 50,2 тыс. рублей в январе 2018 года возвращены в бюджет МО ТР. </t>
  </si>
  <si>
    <t xml:space="preserve">Работы выполнены, средства в сумме 1,1 тыс. рублей возвращены в бюджет МОТР в январе 2018 года  из-за сложившейся экономиии в результате проведения конкурсных процедур. </t>
  </si>
  <si>
    <t xml:space="preserve">Оплата произведена по фактическому исполнению финансового обеспечения подведомственного координатору учреждения </t>
  </si>
  <si>
    <t>Сложилась экономия средств по проведению праздничных мероприятий</t>
  </si>
  <si>
    <t>Оплата произведена по факту выполнения работ и на основании актов выполненных работ. Выполнение работ запланиравано на 2018 год</t>
  </si>
  <si>
    <t>Оплата произведена по факту выполненных работ</t>
  </si>
  <si>
    <t>Оплата произведена по фактическим затратам, в бюджет МО ТР возвращен остаток  в сумме 4,1 тыс. рублей</t>
  </si>
  <si>
    <t>Работы выполнены, средства не профинансированы в полном объеме из-за экономиии, сложившейся в результате оптимизации цены поставки товаров, выполнения работ (оказания услуг) по итогам проведения конкурсных процедур, в январе 2018 года осуществлен возврат  в сумме 10,7 тыс. рублей  в бюджет МО ТР</t>
  </si>
  <si>
    <t>Работы выполнены по капитальному ремонту СДК, средства не профинансированы в полном объеме из-за экономиии, сложившейся в результате оптимизации цены поставки товаров, выполнения работ (оказания услуг) по итогам проведения конкурсных процедур, в январе 2018 года осуществлен возврат в сумме 147,7 тыс. рублей  в бюджет МО ТР</t>
  </si>
  <si>
    <t>Фактическое исполнение условий контракта на выполнение ремонта административного здания в январе 2018 года, оплата произведена по факту предоставления актов выполненных работ</t>
  </si>
  <si>
    <t>В 2017 году из средств бюджета МО ТР  выделены средства  в сумме 1 897,3 тыс. руб.  на разработку ПСД и капитальный ремонт кровли и внутренних помещений муниципального здания. Работы не выполнены, средства возвращены в бюджет МО ТР в январе 2018 года в сумме 1 876,9 тыс. руб. В январе 2018 года произведена оплата коммунальных платежей на основании  представленных счетов за 2017 год.</t>
  </si>
  <si>
    <t>Работы по текущему ремонту дорог поселения не выполнены (не успели провести торги в 2017 году), выполнение  этих работ запланировано на первое полугодие 2018 года</t>
  </si>
  <si>
    <t>Работы выполнены, средства не профинансированы в полном объеме из-за экономиии, сложившейся в результате оптимизации цены поставки товаров, выполнения работ (оказания услуг) по итогам проведения конкурсных процедур. В январе 2018 года осуществлен возврат денежных средств в сумме 200,5 тыс. рублей в бюджет МО ТР</t>
  </si>
  <si>
    <t xml:space="preserve">В 2017 году из средств бюджета МО ТР  выделены трансферты  в сумме 990,3 тыс. руб.  на ремонт дороги  ул. Красной в ст-це Курчанской и на изготовление КСОДД. Работы выполнены, средства возвращены в бюджет МО ТР в январе 2018 года в сумме 200,5 тыс. руб. </t>
  </si>
  <si>
    <t xml:space="preserve">Работы выполнены, краевые средства  профинансированы в сумме 1752,0 тыс. рублей </t>
  </si>
  <si>
    <t xml:space="preserve">В связи с длительностью проведения процедуры торгов выполнить запланированные работы не представилось возможным в 2017 году. Выполнение этих мероприятий  запланировано на первый квартал 2018 года.     </t>
  </si>
  <si>
    <t xml:space="preserve">Выполнены работы по государственной экспертизе водопровода в пос. Юбилейном, возвращено в январе 2018 года в бюджет МО ТР - 87,0 тыс. рублей </t>
  </si>
  <si>
    <t xml:space="preserve">Мероприятия программы (приобретение тактильной плитки) не выполнены в полном объеме из-за отсутствия денежных средств в поселении </t>
  </si>
  <si>
    <t>Обеспечение безопасности населения</t>
  </si>
  <si>
    <t>Доступная среда</t>
  </si>
  <si>
    <t>Развитие культуры</t>
  </si>
  <si>
    <t>Развитие физической культуры и спорта</t>
  </si>
  <si>
    <t>Развитие жилищно-коммунального хозяйства</t>
  </si>
  <si>
    <t>Развитие сети автомобильных дорог поселений</t>
  </si>
  <si>
    <t xml:space="preserve">Оплата произведена по фактическим затратам, сложилась  экономия средств </t>
  </si>
  <si>
    <t>По итогам проведения торгов сложилась экономия средств</t>
  </si>
  <si>
    <t>Сложилась экономия денежных средств по результатам торгов</t>
  </si>
  <si>
    <t>Мероприятие не выполнено в полном объеме так как не был заключен контракт на корректировку правил землепользования застройки Темрюкского городского поселения Темрюкского района</t>
  </si>
  <si>
    <t>Оплата произведена по фактту выполненных работ</t>
  </si>
  <si>
    <t>Произведена оплата по фактическим выполнениям работ, в результате сложилась экономия средств</t>
  </si>
  <si>
    <t>В связи с нарушением подрядчиком сроков выполнения работ</t>
  </si>
  <si>
    <t>В связи с тем, что был расторгнут по соглашению сторон муниципальный контракт № 0118300011417000137 от 20.11.2017 г. с ООО «СтройПроектРегион» в связи с отсутствием исходных данных для разработки проектно-сметной документации по объекту «Строительство распределительного газопровода высокого давления, ШГРП и газопровода низкого давления по адресу г. Темрюк, микрорайон Левобережный»</t>
  </si>
  <si>
    <t>Работы выполнены, по результатам торгов сложилась экономия денежных средств</t>
  </si>
  <si>
    <t>Сложилась экономия денежных средств по результатам проведенных торгов</t>
  </si>
  <si>
    <t>Выплаты производились исходя из фактически отработанного времени, сложилась экономия средств</t>
  </si>
  <si>
    <t>Работы выполнены, сложилась экономия средств</t>
  </si>
  <si>
    <t>Начальник управления экономика</t>
  </si>
  <si>
    <t>Приложение к пояснительной  записке</t>
  </si>
  <si>
    <t>ВСЕГО по программам поселений:</t>
  </si>
  <si>
    <t xml:space="preserve">Информация об исполнении муниципальных программ поселениями Темрюкского района                                            по итогам 2017 года                      </t>
  </si>
  <si>
    <r>
      <t xml:space="preserve">Запорожское сельское поселение                      </t>
    </r>
    <r>
      <rPr>
        <i/>
        <sz val="12"/>
        <rFont val="Times New Roman"/>
        <family val="1"/>
        <charset val="204"/>
      </rPr>
      <t>(ГП КК "Развитие культуры")</t>
    </r>
  </si>
  <si>
    <r>
      <t>Старотитаровское сельское поселение                    (</t>
    </r>
    <r>
      <rPr>
        <i/>
        <sz val="12"/>
        <rFont val="Times New Roman"/>
        <family val="1"/>
        <charset val="204"/>
      </rPr>
      <t>ГП КК "Развитие культуры",                                  ГП КК "Развитие сети автомобильных дорог Краснодарского края")</t>
    </r>
  </si>
  <si>
    <r>
      <t xml:space="preserve">Таманское сельское поселение                                </t>
    </r>
    <r>
      <rPr>
        <i/>
        <sz val="12"/>
        <rFont val="Times New Roman"/>
        <family val="1"/>
        <charset val="204"/>
      </rPr>
      <t>(ГП КК "Развитие культуры")</t>
    </r>
  </si>
  <si>
    <r>
      <t>Курчанское сельское поселение                               (</t>
    </r>
    <r>
      <rPr>
        <i/>
        <sz val="12"/>
        <rFont val="Times New Roman"/>
        <family val="1"/>
        <charset val="204"/>
      </rPr>
      <t>ГП КК "Развитие культуры",                               ГП КК "Развитие сети автомобильных дорог Краснодарского края")</t>
    </r>
  </si>
  <si>
    <r>
      <t xml:space="preserve">Фонталовское сельское поселение                             </t>
    </r>
    <r>
      <rPr>
        <i/>
        <sz val="12"/>
        <rFont val="Times New Roman"/>
        <family val="1"/>
        <charset val="204"/>
      </rPr>
      <t>(ГП КК "Развитие культуры",                                 ГП КК "Развитие сети автомобильных дорог Краснодарского края")</t>
    </r>
  </si>
  <si>
    <r>
      <t xml:space="preserve">Темрюкское городское поселение                          </t>
    </r>
    <r>
      <rPr>
        <i/>
        <sz val="12"/>
        <rFont val="Times New Roman"/>
        <family val="1"/>
        <charset val="204"/>
      </rPr>
      <t>(ГП КК "Развитие культуры",                                 ГП КК "Развитие сети автомобильных дорог Краснодарского края",                                                ГП КК "Развитие жилищно-коммунального хозяйства",                                                               ФЦП "Жилище")</t>
    </r>
  </si>
  <si>
    <t xml:space="preserve">Государственные программы Краснодарского края, в которых приняли участие поселения </t>
  </si>
  <si>
    <r>
      <t xml:space="preserve">Ахтанизовское сельское поселение                               </t>
    </r>
    <r>
      <rPr>
        <i/>
        <sz val="12"/>
        <rFont val="Times New Roman"/>
        <family val="1"/>
        <charset val="204"/>
      </rPr>
      <t>(ГП КК "Развитие культуры",                              ГП КК "Развитие сети автомобильных дорог Краснодарского края")</t>
    </r>
  </si>
  <si>
    <r>
      <t xml:space="preserve">Голубицкое сельское поселение                                               </t>
    </r>
    <r>
      <rPr>
        <i/>
        <sz val="12"/>
        <rFont val="Times New Roman"/>
        <family val="1"/>
        <charset val="204"/>
      </rPr>
      <t>(ГП КК "Развитие культуры")</t>
    </r>
  </si>
  <si>
    <r>
      <t xml:space="preserve">Вышестеблиевское сельское поселение                                                                                </t>
    </r>
    <r>
      <rPr>
        <i/>
        <sz val="12"/>
        <rFont val="Times New Roman"/>
        <family val="1"/>
        <charset val="204"/>
      </rPr>
      <t>(ГП КК "Развитие культуры",                                                   ГП КК "Развитие сети автомобильных дорог Краснодарского края")</t>
    </r>
  </si>
  <si>
    <r>
      <t>Сенное сельское поселение                                       (</t>
    </r>
    <r>
      <rPr>
        <i/>
        <sz val="12"/>
        <rFont val="Times New Roman"/>
        <family val="1"/>
        <charset val="204"/>
      </rPr>
      <t>ГП КК "Развитие культуры",                              ГП КК "Развитие сети автомобильных дорог Краснодарского края")</t>
    </r>
  </si>
  <si>
    <r>
      <t xml:space="preserve">Новотаманское сельское поселение                         </t>
    </r>
    <r>
      <rPr>
        <i/>
        <sz val="12"/>
        <rFont val="Times New Roman"/>
        <family val="1"/>
        <charset val="204"/>
      </rPr>
      <t>(ГП КК "Развитие культуры",                                 ГП КК "Развитие сети автомобильных дорог Краснодарского края",                                                   ФЦП "Жилище")</t>
    </r>
  </si>
  <si>
    <r>
      <t>Краснострельское сельское поселение                  (</t>
    </r>
    <r>
      <rPr>
        <i/>
        <sz val="12"/>
        <rFont val="Times New Roman"/>
        <family val="1"/>
        <charset val="204"/>
      </rPr>
      <t>ГП КК "Развитие культуры",                                               ГП КК "Развитие сети автомобильных дорог Краснодарского края",                                                                         ГП КК "Развитие физической культуры и спорта",                                                                            ГП КК "Развитие сельского хозяйства и регулирования рынков сельскохозяйственной продукции, сырья и продовольствия",                      ГП КК "Развитие топливно-энергетического комплекса")</t>
    </r>
  </si>
  <si>
    <t xml:space="preserve">Сводная информация об исполнении муниципальных программ поселениями Темрюкского района                                                                                по итогам 2017 года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</si>
</sst>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center" vertical="top" wrapText="1"/>
    </xf>
    <xf numFmtId="164" fontId="3" fillId="4" borderId="1" xfId="1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164" fontId="5" fillId="0" borderId="1" xfId="1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5" fillId="4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7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0" xfId="0" applyNumberFormat="1" applyFont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164" fontId="7" fillId="2" borderId="0" xfId="0" applyNumberFormat="1" applyFont="1" applyFill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164" fontId="7" fillId="6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6" fillId="5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center" vertical="top"/>
    </xf>
    <xf numFmtId="164" fontId="6" fillId="5" borderId="0" xfId="0" applyNumberFormat="1" applyFont="1" applyFill="1" applyAlignment="1">
      <alignment horizontal="center" vertical="top" wrapText="1"/>
    </xf>
    <xf numFmtId="0" fontId="6" fillId="6" borderId="1" xfId="1" applyFont="1" applyFill="1" applyBorder="1" applyAlignment="1">
      <alignment horizontal="center" vertical="top" wrapText="1"/>
    </xf>
    <xf numFmtId="164" fontId="6" fillId="6" borderId="1" xfId="1" applyNumberFormat="1" applyFont="1" applyFill="1" applyBorder="1" applyAlignment="1">
      <alignment horizontal="center" vertical="top" wrapText="1"/>
    </xf>
    <xf numFmtId="164" fontId="7" fillId="6" borderId="4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Alignment="1">
      <alignment horizontal="center" vertical="top" wrapText="1"/>
    </xf>
    <xf numFmtId="164" fontId="7" fillId="6" borderId="0" xfId="0" applyNumberFormat="1" applyFont="1" applyFill="1" applyAlignment="1">
      <alignment horizontal="center" vertical="top"/>
    </xf>
    <xf numFmtId="0" fontId="7" fillId="6" borderId="0" xfId="0" applyFont="1" applyFill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164" fontId="6" fillId="6" borderId="1" xfId="0" applyNumberFormat="1" applyFont="1" applyFill="1" applyBorder="1" applyAlignment="1">
      <alignment horizontal="center" vertical="top" wrapText="1"/>
    </xf>
    <xf numFmtId="164" fontId="6" fillId="6" borderId="4" xfId="0" applyNumberFormat="1" applyFont="1" applyFill="1" applyBorder="1" applyAlignment="1">
      <alignment horizontal="center" vertical="top" wrapText="1"/>
    </xf>
    <xf numFmtId="0" fontId="7" fillId="6" borderId="0" xfId="0" applyFont="1" applyFill="1" applyAlignment="1">
      <alignment horizontal="center" vertical="top" wrapText="1"/>
    </xf>
    <xf numFmtId="164" fontId="7" fillId="7" borderId="1" xfId="0" applyNumberFormat="1" applyFont="1" applyFill="1" applyBorder="1" applyAlignment="1">
      <alignment horizontal="center" vertical="top" wrapText="1"/>
    </xf>
    <xf numFmtId="164" fontId="3" fillId="3" borderId="0" xfId="0" applyNumberFormat="1" applyFont="1" applyFill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 wrapText="1"/>
    </xf>
    <xf numFmtId="0" fontId="6" fillId="6" borderId="0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center" vertical="top" wrapText="1"/>
    </xf>
    <xf numFmtId="164" fontId="6" fillId="6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64" fontId="4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4" fontId="6" fillId="5" borderId="4" xfId="0" applyNumberFormat="1" applyFont="1" applyFill="1" applyBorder="1" applyAlignment="1">
      <alignment horizontal="center" vertical="top" wrapText="1"/>
    </xf>
    <xf numFmtId="164" fontId="6" fillId="5" borderId="5" xfId="0" applyNumberFormat="1" applyFont="1" applyFill="1" applyBorder="1" applyAlignment="1">
      <alignment horizontal="center" vertical="top" wrapText="1"/>
    </xf>
    <xf numFmtId="164" fontId="6" fillId="5" borderId="3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6" fillId="6" borderId="4" xfId="1" applyFont="1" applyFill="1" applyBorder="1" applyAlignment="1">
      <alignment horizontal="left" vertical="top" wrapText="1"/>
    </xf>
    <xf numFmtId="0" fontId="6" fillId="6" borderId="3" xfId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164" fontId="7" fillId="0" borderId="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view="pageBreakPreview" zoomScaleNormal="75" zoomScaleSheetLayoutView="100" workbookViewId="0">
      <selection activeCell="E8" sqref="E8"/>
    </sheetView>
  </sheetViews>
  <sheetFormatPr defaultRowHeight="15.75" x14ac:dyDescent="0.25"/>
  <cols>
    <col min="1" max="1" width="46.28515625" style="17" customWidth="1"/>
    <col min="2" max="2" width="18.5703125" style="5" customWidth="1"/>
    <col min="3" max="3" width="28.85546875" style="8" customWidth="1"/>
    <col min="4" max="4" width="22.5703125" style="9" customWidth="1"/>
    <col min="5" max="5" width="21.140625" style="9" customWidth="1"/>
    <col min="6" max="6" width="23.7109375" style="9" customWidth="1"/>
    <col min="7" max="8" width="9.5703125" style="5" bestFit="1" customWidth="1"/>
    <col min="9" max="16384" width="9.140625" style="5"/>
  </cols>
  <sheetData>
    <row r="1" spans="1:6" s="1" customFormat="1" ht="18" customHeight="1" x14ac:dyDescent="0.25">
      <c r="A1" s="16"/>
      <c r="C1" s="2"/>
      <c r="D1" s="166" t="s">
        <v>420</v>
      </c>
      <c r="E1" s="166"/>
      <c r="F1" s="166"/>
    </row>
    <row r="2" spans="1:6" s="1" customFormat="1" ht="37.5" customHeight="1" x14ac:dyDescent="0.25">
      <c r="A2" s="16"/>
      <c r="C2" s="2"/>
      <c r="D2" s="3"/>
      <c r="E2" s="3"/>
      <c r="F2" s="3"/>
    </row>
    <row r="3" spans="1:6" s="1" customFormat="1" ht="39" customHeight="1" x14ac:dyDescent="0.25">
      <c r="A3" s="167" t="s">
        <v>436</v>
      </c>
      <c r="B3" s="167"/>
      <c r="C3" s="167"/>
      <c r="D3" s="167"/>
      <c r="E3" s="167"/>
      <c r="F3" s="167"/>
    </row>
    <row r="4" spans="1:6" s="10" customFormat="1" ht="24" customHeight="1" x14ac:dyDescent="0.25">
      <c r="A4" s="14"/>
      <c r="B4" s="120"/>
      <c r="C4" s="120"/>
      <c r="D4" s="18"/>
      <c r="E4" s="18"/>
      <c r="F4" s="120"/>
    </row>
    <row r="5" spans="1:6" ht="63" customHeight="1" x14ac:dyDescent="0.25">
      <c r="A5" s="15" t="s">
        <v>17</v>
      </c>
      <c r="B5" s="6" t="s">
        <v>16</v>
      </c>
      <c r="C5" s="6" t="s">
        <v>18</v>
      </c>
      <c r="D5" s="7" t="s">
        <v>20</v>
      </c>
      <c r="E5" s="7" t="s">
        <v>19</v>
      </c>
      <c r="F5" s="7" t="s">
        <v>23</v>
      </c>
    </row>
    <row r="6" spans="1:6" ht="15.75" customHeight="1" x14ac:dyDescent="0.25">
      <c r="A6" s="6">
        <v>1</v>
      </c>
      <c r="B6" s="6">
        <v>2</v>
      </c>
      <c r="C6" s="6">
        <v>3</v>
      </c>
      <c r="D6" s="134">
        <v>4</v>
      </c>
      <c r="E6" s="135">
        <v>5</v>
      </c>
      <c r="F6" s="134">
        <v>6</v>
      </c>
    </row>
    <row r="7" spans="1:6" ht="20.25" customHeight="1" x14ac:dyDescent="0.25">
      <c r="A7" s="154" t="s">
        <v>429</v>
      </c>
      <c r="B7" s="155"/>
      <c r="C7" s="155"/>
      <c r="D7" s="155"/>
      <c r="E7" s="155"/>
      <c r="F7" s="156"/>
    </row>
    <row r="8" spans="1:6" ht="15" customHeight="1" x14ac:dyDescent="0.25">
      <c r="A8" s="136" t="s">
        <v>430</v>
      </c>
      <c r="B8" s="139">
        <v>2</v>
      </c>
      <c r="C8" s="6" t="s">
        <v>21</v>
      </c>
      <c r="D8" s="7">
        <f>общие!D133+общие!D299</f>
        <v>3995.6</v>
      </c>
      <c r="E8" s="7">
        <f>общие!E133+общие!E299</f>
        <v>3995.6</v>
      </c>
      <c r="F8" s="7">
        <f>E8/D8*100</f>
        <v>100</v>
      </c>
    </row>
    <row r="9" spans="1:6" ht="15" customHeight="1" x14ac:dyDescent="0.25">
      <c r="A9" s="137"/>
      <c r="B9" s="140"/>
      <c r="C9" s="6" t="s">
        <v>22</v>
      </c>
      <c r="D9" s="7">
        <f>общие!D300+общие!D134</f>
        <v>795.6</v>
      </c>
      <c r="E9" s="7">
        <f>общие!E134+общие!E300</f>
        <v>795.63</v>
      </c>
      <c r="F9" s="7">
        <f t="shared" ref="F9:F10" si="0">E9/D9*100</f>
        <v>100.00377073906486</v>
      </c>
    </row>
    <row r="10" spans="1:6" s="13" customFormat="1" ht="39.75" customHeight="1" x14ac:dyDescent="0.25">
      <c r="A10" s="138"/>
      <c r="B10" s="141"/>
      <c r="C10" s="11" t="s">
        <v>24</v>
      </c>
      <c r="D10" s="12">
        <f>D8+D9</f>
        <v>4791.2</v>
      </c>
      <c r="E10" s="12">
        <f>E8+E9</f>
        <v>4791.2299999999996</v>
      </c>
      <c r="F10" s="12">
        <f t="shared" si="0"/>
        <v>100.00062614793788</v>
      </c>
    </row>
    <row r="11" spans="1:6" ht="15" customHeight="1" x14ac:dyDescent="0.25">
      <c r="A11" s="136" t="s">
        <v>432</v>
      </c>
      <c r="B11" s="139">
        <v>2</v>
      </c>
      <c r="C11" s="6" t="s">
        <v>21</v>
      </c>
      <c r="D11" s="7">
        <f>общие!D136+общие!D304</f>
        <v>6649.7</v>
      </c>
      <c r="E11" s="7">
        <f>общие!E136+общие!E304</f>
        <v>6391.2999999999993</v>
      </c>
      <c r="F11" s="7">
        <f>E11/D11*100</f>
        <v>96.114110410995977</v>
      </c>
    </row>
    <row r="12" spans="1:6" ht="15" customHeight="1" x14ac:dyDescent="0.25">
      <c r="A12" s="137"/>
      <c r="B12" s="140"/>
      <c r="C12" s="6" t="s">
        <v>22</v>
      </c>
      <c r="D12" s="7">
        <f>общие!D137+общие!D305</f>
        <v>1978.9</v>
      </c>
      <c r="E12" s="7">
        <f>общие!E137+общие!E305</f>
        <v>1978.94</v>
      </c>
      <c r="F12" s="7">
        <f t="shared" ref="F12:F13" si="1">E12/D12*100</f>
        <v>100.00202132497853</v>
      </c>
    </row>
    <row r="13" spans="1:6" s="13" customFormat="1" ht="38.25" customHeight="1" x14ac:dyDescent="0.25">
      <c r="A13" s="138"/>
      <c r="B13" s="141"/>
      <c r="C13" s="11" t="s">
        <v>24</v>
      </c>
      <c r="D13" s="12">
        <f>D11+D12</f>
        <v>8628.6</v>
      </c>
      <c r="E13" s="12">
        <f>E11+E12</f>
        <v>8370.24</v>
      </c>
      <c r="F13" s="12">
        <f t="shared" si="1"/>
        <v>97.005771504067866</v>
      </c>
    </row>
    <row r="14" spans="1:6" ht="15" customHeight="1" x14ac:dyDescent="0.25">
      <c r="A14" s="136" t="s">
        <v>431</v>
      </c>
      <c r="B14" s="139">
        <v>1</v>
      </c>
      <c r="C14" s="6" t="s">
        <v>21</v>
      </c>
      <c r="D14" s="7">
        <f>общие!D308</f>
        <v>2345.6</v>
      </c>
      <c r="E14" s="7">
        <f>общие!E308</f>
        <v>2345.6</v>
      </c>
      <c r="F14" s="7">
        <f>E14/D14*100</f>
        <v>100</v>
      </c>
    </row>
    <row r="15" spans="1:6" ht="15" customHeight="1" x14ac:dyDescent="0.25">
      <c r="A15" s="137"/>
      <c r="B15" s="140"/>
      <c r="C15" s="6" t="s">
        <v>22</v>
      </c>
      <c r="D15" s="7">
        <f>общие!D309</f>
        <v>853.2</v>
      </c>
      <c r="E15" s="7">
        <f>общие!E309</f>
        <v>853.2</v>
      </c>
      <c r="F15" s="7">
        <f t="shared" ref="F15:F16" si="2">E15/D15*100</f>
        <v>100</v>
      </c>
    </row>
    <row r="16" spans="1:6" s="13" customFormat="1" ht="15" customHeight="1" x14ac:dyDescent="0.25">
      <c r="A16" s="138"/>
      <c r="B16" s="141"/>
      <c r="C16" s="11" t="s">
        <v>24</v>
      </c>
      <c r="D16" s="12">
        <f>D14+D15</f>
        <v>3198.8</v>
      </c>
      <c r="E16" s="12">
        <f>E14+E15</f>
        <v>3198.8</v>
      </c>
      <c r="F16" s="12">
        <f t="shared" si="2"/>
        <v>100</v>
      </c>
    </row>
    <row r="17" spans="1:6" ht="15" customHeight="1" x14ac:dyDescent="0.25">
      <c r="A17" s="148" t="s">
        <v>423</v>
      </c>
      <c r="B17" s="139">
        <v>1</v>
      </c>
      <c r="C17" s="6" t="s">
        <v>21</v>
      </c>
      <c r="D17" s="7">
        <f>общие!D312</f>
        <v>3164.5</v>
      </c>
      <c r="E17" s="7">
        <f>общие!E312</f>
        <v>3164.5</v>
      </c>
      <c r="F17" s="7">
        <f>E17/D17*100</f>
        <v>100</v>
      </c>
    </row>
    <row r="18" spans="1:6" ht="15" customHeight="1" x14ac:dyDescent="0.25">
      <c r="A18" s="149"/>
      <c r="B18" s="140"/>
      <c r="C18" s="6" t="s">
        <v>22</v>
      </c>
      <c r="D18" s="7">
        <f>общие!D313</f>
        <v>1239.9000000000001</v>
      </c>
      <c r="E18" s="7">
        <f>общие!E313</f>
        <v>1239.9000000000001</v>
      </c>
      <c r="F18" s="7">
        <f t="shared" ref="F18:F19" si="3">E18/D18*100</f>
        <v>100</v>
      </c>
    </row>
    <row r="19" spans="1:6" s="13" customFormat="1" ht="15" customHeight="1" x14ac:dyDescent="0.25">
      <c r="A19" s="150"/>
      <c r="B19" s="141"/>
      <c r="C19" s="11" t="s">
        <v>24</v>
      </c>
      <c r="D19" s="12">
        <f>D17+D18</f>
        <v>4404.3999999999996</v>
      </c>
      <c r="E19" s="12">
        <f>E17+E18</f>
        <v>4404.3999999999996</v>
      </c>
      <c r="F19" s="12">
        <f t="shared" si="3"/>
        <v>100</v>
      </c>
    </row>
    <row r="20" spans="1:6" ht="15" customHeight="1" x14ac:dyDescent="0.25">
      <c r="A20" s="136" t="s">
        <v>433</v>
      </c>
      <c r="B20" s="139">
        <v>2</v>
      </c>
      <c r="C20" s="6" t="s">
        <v>21</v>
      </c>
      <c r="D20" s="7">
        <f>общие!D330+общие!D152</f>
        <v>12686.099999999999</v>
      </c>
      <c r="E20" s="7">
        <f>общие!E330+общие!E152</f>
        <v>9193.9</v>
      </c>
      <c r="F20" s="7">
        <f>E20/D20*100</f>
        <v>72.472233389300101</v>
      </c>
    </row>
    <row r="21" spans="1:6" ht="15" customHeight="1" x14ac:dyDescent="0.25">
      <c r="A21" s="137"/>
      <c r="B21" s="140"/>
      <c r="C21" s="6" t="s">
        <v>22</v>
      </c>
      <c r="D21" s="7">
        <f>общие!D331+общие!D153</f>
        <v>4316.1400000000003</v>
      </c>
      <c r="E21" s="7">
        <f>общие!E331+общие!E153</f>
        <v>4316.1000000000004</v>
      </c>
      <c r="F21" s="7">
        <f t="shared" ref="F21:F22" si="4">E21/D21*100</f>
        <v>99.999073246002212</v>
      </c>
    </row>
    <row r="22" spans="1:6" s="13" customFormat="1" ht="35.25" customHeight="1" x14ac:dyDescent="0.25">
      <c r="A22" s="138"/>
      <c r="B22" s="141"/>
      <c r="C22" s="11" t="s">
        <v>24</v>
      </c>
      <c r="D22" s="12">
        <f>D20+D21</f>
        <v>17002.239999999998</v>
      </c>
      <c r="E22" s="12">
        <f>E20+E21</f>
        <v>13510</v>
      </c>
      <c r="F22" s="12">
        <f t="shared" si="4"/>
        <v>79.460118196190635</v>
      </c>
    </row>
    <row r="23" spans="1:6" s="13" customFormat="1" ht="15" customHeight="1" x14ac:dyDescent="0.25">
      <c r="A23" s="136" t="s">
        <v>424</v>
      </c>
      <c r="B23" s="139">
        <v>2</v>
      </c>
      <c r="C23" s="52" t="s">
        <v>315</v>
      </c>
      <c r="D23" s="53">
        <f>общие!D334</f>
        <v>720</v>
      </c>
      <c r="E23" s="53">
        <f>общие!E334</f>
        <v>720</v>
      </c>
      <c r="F23" s="7">
        <f>E23/D23*100</f>
        <v>100</v>
      </c>
    </row>
    <row r="24" spans="1:6" ht="15" customHeight="1" x14ac:dyDescent="0.25">
      <c r="A24" s="137"/>
      <c r="B24" s="140"/>
      <c r="C24" s="6" t="s">
        <v>21</v>
      </c>
      <c r="D24" s="7">
        <f>общие!D156+общие!D335</f>
        <v>8865</v>
      </c>
      <c r="E24" s="7">
        <f>общие!E156+общие!E335</f>
        <v>8420.24</v>
      </c>
      <c r="F24" s="7">
        <f>E24/D24*100</f>
        <v>94.982966723068245</v>
      </c>
    </row>
    <row r="25" spans="1:6" ht="15" customHeight="1" x14ac:dyDescent="0.25">
      <c r="A25" s="137"/>
      <c r="B25" s="140"/>
      <c r="C25" s="6" t="s">
        <v>22</v>
      </c>
      <c r="D25" s="7">
        <f>общие!D157+общие!D336</f>
        <v>2696.4</v>
      </c>
      <c r="E25" s="7">
        <f>общие!E157+общие!E336</f>
        <v>2696.4</v>
      </c>
      <c r="F25" s="7">
        <f t="shared" ref="F25:F26" si="5">E25/D25*100</f>
        <v>100</v>
      </c>
    </row>
    <row r="26" spans="1:6" s="13" customFormat="1" ht="19.5" customHeight="1" x14ac:dyDescent="0.25">
      <c r="A26" s="138"/>
      <c r="B26" s="141"/>
      <c r="C26" s="11" t="s">
        <v>24</v>
      </c>
      <c r="D26" s="12">
        <f>D24+D25+D23</f>
        <v>12281.4</v>
      </c>
      <c r="E26" s="12">
        <f>E24+E25+E23</f>
        <v>11836.64</v>
      </c>
      <c r="F26" s="12">
        <f t="shared" si="5"/>
        <v>96.378588760239055</v>
      </c>
    </row>
    <row r="27" spans="1:6" ht="15" customHeight="1" x14ac:dyDescent="0.25">
      <c r="A27" s="136" t="s">
        <v>425</v>
      </c>
      <c r="B27" s="139">
        <v>1</v>
      </c>
      <c r="C27" s="6" t="s">
        <v>21</v>
      </c>
      <c r="D27" s="7">
        <f>общие!D339</f>
        <v>4379.3999999999996</v>
      </c>
      <c r="E27" s="7">
        <f>общие!E339</f>
        <v>4379.3999999999996</v>
      </c>
      <c r="F27" s="7">
        <f>E27/D27*100</f>
        <v>100</v>
      </c>
    </row>
    <row r="28" spans="1:6" ht="15" customHeight="1" x14ac:dyDescent="0.25">
      <c r="A28" s="137"/>
      <c r="B28" s="140"/>
      <c r="C28" s="6" t="s">
        <v>22</v>
      </c>
      <c r="D28" s="7">
        <f>общие!D340</f>
        <v>2689.3</v>
      </c>
      <c r="E28" s="7">
        <f>общие!E340</f>
        <v>2133.1999999999998</v>
      </c>
      <c r="F28" s="7">
        <f t="shared" ref="F28:F29" si="6">E28/D28*100</f>
        <v>79.321756590934427</v>
      </c>
    </row>
    <row r="29" spans="1:6" s="13" customFormat="1" ht="15" customHeight="1" x14ac:dyDescent="0.25">
      <c r="A29" s="138"/>
      <c r="B29" s="141"/>
      <c r="C29" s="11" t="s">
        <v>24</v>
      </c>
      <c r="D29" s="12">
        <f>D27+D28</f>
        <v>7068.7</v>
      </c>
      <c r="E29" s="12">
        <f>E27+E28</f>
        <v>6512.5999999999995</v>
      </c>
      <c r="F29" s="12">
        <f t="shared" si="6"/>
        <v>92.132924017145996</v>
      </c>
    </row>
    <row r="30" spans="1:6" ht="15" customHeight="1" x14ac:dyDescent="0.25">
      <c r="A30" s="136" t="s">
        <v>434</v>
      </c>
      <c r="B30" s="139">
        <v>3</v>
      </c>
      <c r="C30" s="6" t="s">
        <v>21</v>
      </c>
      <c r="D30" s="7">
        <f>общие!D326+общие!D270+общие!D148</f>
        <v>8813.5</v>
      </c>
      <c r="E30" s="7">
        <f>общие!E326+общие!E270+общие!E148</f>
        <v>5389.88</v>
      </c>
      <c r="F30" s="7">
        <f>E30/D30*100</f>
        <v>61.154819311283823</v>
      </c>
    </row>
    <row r="31" spans="1:6" ht="15" customHeight="1" x14ac:dyDescent="0.25">
      <c r="A31" s="137"/>
      <c r="B31" s="140"/>
      <c r="C31" s="6" t="s">
        <v>22</v>
      </c>
      <c r="D31" s="7">
        <f>общие!D149+общие!D271+общие!D327</f>
        <v>2609.5</v>
      </c>
      <c r="E31" s="7">
        <f>общие!E149+общие!E271+общие!E327</f>
        <v>1882.8</v>
      </c>
      <c r="F31" s="7">
        <f t="shared" ref="F31:F32" si="7">E31/D31*100</f>
        <v>72.151753209427099</v>
      </c>
    </row>
    <row r="32" spans="1:6" s="13" customFormat="1" ht="51.75" customHeight="1" x14ac:dyDescent="0.25">
      <c r="A32" s="138"/>
      <c r="B32" s="141"/>
      <c r="C32" s="11" t="s">
        <v>24</v>
      </c>
      <c r="D32" s="12">
        <f>D30+D31</f>
        <v>11423</v>
      </c>
      <c r="E32" s="12">
        <f>E30+E31</f>
        <v>7272.68</v>
      </c>
      <c r="F32" s="12">
        <f t="shared" si="7"/>
        <v>63.66698765648254</v>
      </c>
    </row>
    <row r="33" spans="1:6" ht="15" customHeight="1" x14ac:dyDescent="0.25">
      <c r="A33" s="136" t="s">
        <v>426</v>
      </c>
      <c r="B33" s="139">
        <v>2</v>
      </c>
      <c r="C33" s="6" t="s">
        <v>21</v>
      </c>
      <c r="D33" s="7">
        <f>общие!D145+общие!D321</f>
        <v>19402.600000000002</v>
      </c>
      <c r="E33" s="7">
        <f>общие!E145+общие!E321</f>
        <v>17056.18</v>
      </c>
      <c r="F33" s="7">
        <f>E33/D33*100</f>
        <v>87.906672301650289</v>
      </c>
    </row>
    <row r="34" spans="1:6" ht="15" customHeight="1" x14ac:dyDescent="0.25">
      <c r="A34" s="137"/>
      <c r="B34" s="140"/>
      <c r="C34" s="6" t="s">
        <v>22</v>
      </c>
      <c r="D34" s="7">
        <f>общие!D322+общие!D146</f>
        <v>1822.4</v>
      </c>
      <c r="E34" s="7">
        <f>общие!E322+общие!E146</f>
        <v>1822.4</v>
      </c>
      <c r="F34" s="7">
        <f t="shared" ref="F34:F35" si="8">E34/D34*100</f>
        <v>100</v>
      </c>
    </row>
    <row r="35" spans="1:6" s="13" customFormat="1" ht="33.75" customHeight="1" x14ac:dyDescent="0.25">
      <c r="A35" s="138"/>
      <c r="B35" s="141"/>
      <c r="C35" s="11" t="s">
        <v>24</v>
      </c>
      <c r="D35" s="12">
        <f>D33+D34</f>
        <v>21225.000000000004</v>
      </c>
      <c r="E35" s="12">
        <f>E33+E34</f>
        <v>18878.580000000002</v>
      </c>
      <c r="F35" s="12">
        <f t="shared" si="8"/>
        <v>88.94501766784451</v>
      </c>
    </row>
    <row r="36" spans="1:6" ht="15" customHeight="1" x14ac:dyDescent="0.25">
      <c r="A36" s="136" t="s">
        <v>435</v>
      </c>
      <c r="B36" s="139">
        <v>5</v>
      </c>
      <c r="C36" s="6" t="s">
        <v>21</v>
      </c>
      <c r="D36" s="7">
        <f>общие!D142+общие!D192+общие!D194+общие!D315+общие!D360+общие!D318</f>
        <v>11832.300000000001</v>
      </c>
      <c r="E36" s="7">
        <f>общие!E142+общие!E192+общие!E194+общие!E315+общие!E360+общие!E318</f>
        <v>11708.050000000001</v>
      </c>
      <c r="F36" s="7">
        <f>E36/D36*100</f>
        <v>98.949908301851707</v>
      </c>
    </row>
    <row r="37" spans="1:6" ht="15" customHeight="1" x14ac:dyDescent="0.25">
      <c r="A37" s="137"/>
      <c r="B37" s="140"/>
      <c r="C37" s="6" t="s">
        <v>22</v>
      </c>
      <c r="D37" s="7">
        <f>общие!D143+общие!D193+общие!D195+общие!D316+общие!D361+общие!D319</f>
        <v>2704.8</v>
      </c>
      <c r="E37" s="7">
        <f>общие!E143+общие!E193+общие!E195+общие!E316+общие!E361+общие!E319</f>
        <v>2695.8</v>
      </c>
      <c r="F37" s="7">
        <f t="shared" ref="F37:F38" si="9">E37/D37*100</f>
        <v>99.66725820763088</v>
      </c>
    </row>
    <row r="38" spans="1:6" s="13" customFormat="1" ht="142.5" customHeight="1" x14ac:dyDescent="0.25">
      <c r="A38" s="138"/>
      <c r="B38" s="141"/>
      <c r="C38" s="11" t="s">
        <v>24</v>
      </c>
      <c r="D38" s="12">
        <f>D36+D37</f>
        <v>14537.100000000002</v>
      </c>
      <c r="E38" s="12">
        <f>E36+E37</f>
        <v>14403.850000000002</v>
      </c>
      <c r="F38" s="12">
        <f t="shared" si="9"/>
        <v>99.083379766253245</v>
      </c>
    </row>
    <row r="39" spans="1:6" ht="15" customHeight="1" x14ac:dyDescent="0.25">
      <c r="A39" s="136" t="s">
        <v>427</v>
      </c>
      <c r="B39" s="139">
        <v>2</v>
      </c>
      <c r="C39" s="6" t="s">
        <v>21</v>
      </c>
      <c r="D39" s="7">
        <f>общие!D164+общие!D346</f>
        <v>5032.3</v>
      </c>
      <c r="E39" s="7">
        <f>общие!E346+общие!E164</f>
        <v>5017.9400000000005</v>
      </c>
      <c r="F39" s="7">
        <f>E39/D39*100</f>
        <v>99.714643403612669</v>
      </c>
    </row>
    <row r="40" spans="1:6" ht="15" customHeight="1" x14ac:dyDescent="0.25">
      <c r="A40" s="137"/>
      <c r="B40" s="140"/>
      <c r="C40" s="6" t="s">
        <v>22</v>
      </c>
      <c r="D40" s="7">
        <f>общие!D165+общие!D347</f>
        <v>789.9</v>
      </c>
      <c r="E40" s="7">
        <f>общие!E347+общие!E165</f>
        <v>789.9</v>
      </c>
      <c r="F40" s="7">
        <f t="shared" ref="F40:F41" si="10">E40/D40*100</f>
        <v>100</v>
      </c>
    </row>
    <row r="41" spans="1:6" s="13" customFormat="1" ht="36.75" customHeight="1" x14ac:dyDescent="0.25">
      <c r="A41" s="138"/>
      <c r="B41" s="141"/>
      <c r="C41" s="11" t="s">
        <v>24</v>
      </c>
      <c r="D41" s="12">
        <f>D39+D40</f>
        <v>5822.2</v>
      </c>
      <c r="E41" s="12">
        <f>E39+E40</f>
        <v>5807.84</v>
      </c>
      <c r="F41" s="12">
        <f t="shared" si="10"/>
        <v>99.753357837243655</v>
      </c>
    </row>
    <row r="42" spans="1:6" s="13" customFormat="1" ht="17.25" customHeight="1" x14ac:dyDescent="0.25">
      <c r="A42" s="136" t="s">
        <v>428</v>
      </c>
      <c r="B42" s="139">
        <v>4</v>
      </c>
      <c r="C42" s="52" t="s">
        <v>315</v>
      </c>
      <c r="D42" s="53">
        <f>общие!D206+общие!D276</f>
        <v>5947.6</v>
      </c>
      <c r="E42" s="53">
        <f>общие!E206+общие!E276</f>
        <v>5703.43</v>
      </c>
      <c r="F42" s="53">
        <f>E42/D42*100</f>
        <v>95.894646580133156</v>
      </c>
    </row>
    <row r="43" spans="1:6" ht="15" customHeight="1" x14ac:dyDescent="0.25">
      <c r="A43" s="137"/>
      <c r="B43" s="140"/>
      <c r="C43" s="52" t="s">
        <v>21</v>
      </c>
      <c r="D43" s="53">
        <f>общие!D160+общие!D207+общие!D277+общие!D343</f>
        <v>52989.599999999991</v>
      </c>
      <c r="E43" s="53">
        <f>общие!E160+общие!E207+общие!E277+общие!E343</f>
        <v>49354.81</v>
      </c>
      <c r="F43" s="53">
        <f>E43/D43*100</f>
        <v>93.140559656989311</v>
      </c>
    </row>
    <row r="44" spans="1:6" ht="15" customHeight="1" x14ac:dyDescent="0.25">
      <c r="A44" s="137"/>
      <c r="B44" s="140"/>
      <c r="C44" s="6" t="s">
        <v>22</v>
      </c>
      <c r="D44" s="7">
        <f>общие!D161+общие!D208+общие!D278+общие!D344</f>
        <v>12178.1</v>
      </c>
      <c r="E44" s="7">
        <f>общие!E161+общие!E208+общие!E278+общие!E344</f>
        <v>12077.18</v>
      </c>
      <c r="F44" s="7">
        <f t="shared" ref="F44:F81" si="11">E44/D44*100</f>
        <v>99.171299299562335</v>
      </c>
    </row>
    <row r="45" spans="1:6" s="13" customFormat="1" ht="67.5" customHeight="1" x14ac:dyDescent="0.25">
      <c r="A45" s="138"/>
      <c r="B45" s="141"/>
      <c r="C45" s="11" t="s">
        <v>24</v>
      </c>
      <c r="D45" s="12">
        <f>D43+D44+D42</f>
        <v>71115.299999999988</v>
      </c>
      <c r="E45" s="12">
        <f>E43+E44+E42</f>
        <v>67135.42</v>
      </c>
      <c r="F45" s="12">
        <f t="shared" si="11"/>
        <v>94.403623411558428</v>
      </c>
    </row>
    <row r="46" spans="1:6" s="13" customFormat="1" ht="15" customHeight="1" x14ac:dyDescent="0.25">
      <c r="A46" s="163" t="s">
        <v>1</v>
      </c>
      <c r="B46" s="160">
        <f>B8+B11+B14+B17+B20+B23+B27+B30+B33+B36+B39+B42</f>
        <v>27</v>
      </c>
      <c r="C46" s="19" t="s">
        <v>315</v>
      </c>
      <c r="D46" s="20">
        <f>D42+D23</f>
        <v>6667.6</v>
      </c>
      <c r="E46" s="20">
        <f>E42+E23</f>
        <v>6423.43</v>
      </c>
      <c r="F46" s="20">
        <f t="shared" si="11"/>
        <v>96.33796268522407</v>
      </c>
    </row>
    <row r="47" spans="1:6" s="21" customFormat="1" ht="15" customHeight="1" x14ac:dyDescent="0.25">
      <c r="A47" s="164"/>
      <c r="B47" s="161"/>
      <c r="C47" s="19" t="s">
        <v>21</v>
      </c>
      <c r="D47" s="20">
        <f>D8+D11+D14+D17+D20+D24+D27+D30+D33+D36+D39+D43</f>
        <v>140156.20000000001</v>
      </c>
      <c r="E47" s="20">
        <f>E8+E11+E14+E17+E20+E24+E27+E30+E33+E36+E39+E43</f>
        <v>126417.4</v>
      </c>
      <c r="F47" s="20">
        <f t="shared" si="11"/>
        <v>90.197508208698579</v>
      </c>
    </row>
    <row r="48" spans="1:6" s="21" customFormat="1" ht="15" customHeight="1" x14ac:dyDescent="0.25">
      <c r="A48" s="164"/>
      <c r="B48" s="161"/>
      <c r="C48" s="19" t="s">
        <v>22</v>
      </c>
      <c r="D48" s="20">
        <f>D9+D12+D15+D18+D21+D25+D28+D31+D34+D37+D40+D44</f>
        <v>34674.140000000007</v>
      </c>
      <c r="E48" s="20">
        <f>E9+E12+E15+E18+E21+E25+E28+E31+E34+E37+E40+E44</f>
        <v>33281.449999999997</v>
      </c>
      <c r="F48" s="20">
        <f t="shared" si="11"/>
        <v>95.983490866680441</v>
      </c>
    </row>
    <row r="49" spans="1:6" s="21" customFormat="1" ht="15" customHeight="1" x14ac:dyDescent="0.25">
      <c r="A49" s="165"/>
      <c r="B49" s="162"/>
      <c r="C49" s="19" t="s">
        <v>24</v>
      </c>
      <c r="D49" s="20">
        <f>D47+D48+D46</f>
        <v>181497.94000000003</v>
      </c>
      <c r="E49" s="20">
        <f>E47+E48+E46</f>
        <v>166122.27999999997</v>
      </c>
      <c r="F49" s="20">
        <f t="shared" si="11"/>
        <v>91.528465832725132</v>
      </c>
    </row>
    <row r="50" spans="1:6" s="67" customFormat="1" ht="15" customHeight="1" x14ac:dyDescent="0.25">
      <c r="A50" s="157" t="s">
        <v>318</v>
      </c>
      <c r="B50" s="158"/>
      <c r="C50" s="158"/>
      <c r="D50" s="158"/>
      <c r="E50" s="158"/>
      <c r="F50" s="159"/>
    </row>
    <row r="51" spans="1:6" s="67" customFormat="1" ht="15" customHeight="1" x14ac:dyDescent="0.25">
      <c r="A51" s="15" t="s">
        <v>3</v>
      </c>
      <c r="B51" s="6"/>
      <c r="C51" s="6" t="s">
        <v>21</v>
      </c>
      <c r="D51" s="7">
        <v>0</v>
      </c>
      <c r="E51" s="7">
        <v>0</v>
      </c>
      <c r="F51" s="7" t="e">
        <f t="shared" ref="F51:F63" si="12">E51/D51*100</f>
        <v>#DIV/0!</v>
      </c>
    </row>
    <row r="52" spans="1:6" s="67" customFormat="1" ht="15" customHeight="1" x14ac:dyDescent="0.25">
      <c r="A52" s="15" t="s">
        <v>2</v>
      </c>
      <c r="B52" s="6"/>
      <c r="C52" s="6" t="s">
        <v>21</v>
      </c>
      <c r="D52" s="7">
        <f>общие!D306</f>
        <v>300</v>
      </c>
      <c r="E52" s="7">
        <f>общие!E306</f>
        <v>300</v>
      </c>
      <c r="F52" s="7">
        <f t="shared" si="12"/>
        <v>100</v>
      </c>
    </row>
    <row r="53" spans="1:6" s="67" customFormat="1" ht="15" customHeight="1" x14ac:dyDescent="0.25">
      <c r="A53" s="15" t="s">
        <v>4</v>
      </c>
      <c r="B53" s="6"/>
      <c r="C53" s="6" t="s">
        <v>21</v>
      </c>
      <c r="D53" s="7">
        <v>0</v>
      </c>
      <c r="E53" s="7">
        <v>0</v>
      </c>
      <c r="F53" s="7" t="e">
        <f t="shared" si="12"/>
        <v>#DIV/0!</v>
      </c>
    </row>
    <row r="54" spans="1:6" s="67" customFormat="1" ht="15" customHeight="1" x14ac:dyDescent="0.25">
      <c r="A54" s="51" t="s">
        <v>5</v>
      </c>
      <c r="B54" s="52"/>
      <c r="C54" s="6" t="s">
        <v>21</v>
      </c>
      <c r="D54" s="53">
        <v>0</v>
      </c>
      <c r="E54" s="7">
        <v>0</v>
      </c>
      <c r="F54" s="7" t="e">
        <f t="shared" si="12"/>
        <v>#DIV/0!</v>
      </c>
    </row>
    <row r="55" spans="1:6" s="67" customFormat="1" ht="15" customHeight="1" x14ac:dyDescent="0.25">
      <c r="A55" s="15" t="s">
        <v>6</v>
      </c>
      <c r="B55" s="6"/>
      <c r="C55" s="6" t="s">
        <v>21</v>
      </c>
      <c r="D55" s="7">
        <v>0</v>
      </c>
      <c r="E55" s="7">
        <v>0</v>
      </c>
      <c r="F55" s="7" t="e">
        <f t="shared" si="12"/>
        <v>#DIV/0!</v>
      </c>
    </row>
    <row r="56" spans="1:6" s="67" customFormat="1" ht="15" customHeight="1" x14ac:dyDescent="0.25">
      <c r="A56" s="15" t="s">
        <v>7</v>
      </c>
      <c r="B56" s="6"/>
      <c r="C56" s="6" t="s">
        <v>21</v>
      </c>
      <c r="D56" s="7">
        <f>общие!D203</f>
        <v>800</v>
      </c>
      <c r="E56" s="7">
        <f>общие!E203</f>
        <v>799.5</v>
      </c>
      <c r="F56" s="7">
        <f t="shared" si="12"/>
        <v>99.9375</v>
      </c>
    </row>
    <row r="57" spans="1:6" s="67" customFormat="1" ht="15" customHeight="1" x14ac:dyDescent="0.25">
      <c r="A57" s="15" t="s">
        <v>8</v>
      </c>
      <c r="B57" s="6"/>
      <c r="C57" s="6" t="s">
        <v>21</v>
      </c>
      <c r="D57" s="7">
        <v>0</v>
      </c>
      <c r="E57" s="7">
        <v>0</v>
      </c>
      <c r="F57" s="7" t="e">
        <f t="shared" si="12"/>
        <v>#DIV/0!</v>
      </c>
    </row>
    <row r="58" spans="1:6" s="67" customFormat="1" ht="15" customHeight="1" x14ac:dyDescent="0.25">
      <c r="A58" s="15" t="s">
        <v>9</v>
      </c>
      <c r="B58" s="6"/>
      <c r="C58" s="6" t="s">
        <v>21</v>
      </c>
      <c r="D58" s="7">
        <f>общие!D328</f>
        <v>599.99999999999955</v>
      </c>
      <c r="E58" s="7">
        <f>общие!E328</f>
        <v>600.01999999999953</v>
      </c>
      <c r="F58" s="7">
        <f t="shared" si="12"/>
        <v>100.00333333333333</v>
      </c>
    </row>
    <row r="59" spans="1:6" s="67" customFormat="1" ht="15" customHeight="1" x14ac:dyDescent="0.25">
      <c r="A59" s="15" t="s">
        <v>10</v>
      </c>
      <c r="B59" s="6"/>
      <c r="C59" s="6" t="s">
        <v>21</v>
      </c>
      <c r="D59" s="7">
        <f>общие!D198+общие!D223+общие!D323</f>
        <v>3726</v>
      </c>
      <c r="E59" s="7">
        <f>общие!E198+общие!E223+общие!E323</f>
        <v>3725.62</v>
      </c>
      <c r="F59" s="7">
        <f t="shared" si="12"/>
        <v>99.989801395598505</v>
      </c>
    </row>
    <row r="60" spans="1:6" s="67" customFormat="1" ht="15" customHeight="1" x14ac:dyDescent="0.25">
      <c r="A60" s="15" t="s">
        <v>11</v>
      </c>
      <c r="B60" s="6"/>
      <c r="C60" s="6" t="s">
        <v>21</v>
      </c>
      <c r="D60" s="7">
        <v>0</v>
      </c>
      <c r="E60" s="7">
        <v>0</v>
      </c>
      <c r="F60" s="7" t="e">
        <f t="shared" si="12"/>
        <v>#DIV/0!</v>
      </c>
    </row>
    <row r="61" spans="1:6" s="67" customFormat="1" ht="15" customHeight="1" x14ac:dyDescent="0.25">
      <c r="A61" s="15" t="s">
        <v>12</v>
      </c>
      <c r="B61" s="6"/>
      <c r="C61" s="6" t="s">
        <v>21</v>
      </c>
      <c r="D61" s="7">
        <v>0</v>
      </c>
      <c r="E61" s="7">
        <v>0</v>
      </c>
      <c r="F61" s="7" t="e">
        <f t="shared" si="12"/>
        <v>#DIV/0!</v>
      </c>
    </row>
    <row r="62" spans="1:6" s="67" customFormat="1" ht="15" customHeight="1" x14ac:dyDescent="0.25">
      <c r="A62" s="15" t="s">
        <v>13</v>
      </c>
      <c r="B62" s="6"/>
      <c r="C62" s="6" t="s">
        <v>21</v>
      </c>
      <c r="D62" s="7">
        <v>0</v>
      </c>
      <c r="E62" s="7">
        <v>0</v>
      </c>
      <c r="F62" s="7" t="e">
        <f t="shared" si="12"/>
        <v>#DIV/0!</v>
      </c>
    </row>
    <row r="63" spans="1:6" s="67" customFormat="1" ht="15" customHeight="1" x14ac:dyDescent="0.25">
      <c r="A63" s="22" t="s">
        <v>14</v>
      </c>
      <c r="B63" s="23"/>
      <c r="C63" s="23" t="s">
        <v>15</v>
      </c>
      <c r="D63" s="24">
        <f>D51+D52+D53+D54+D55+D56+D57+D58+D59+D60+D61+D62</f>
        <v>5426</v>
      </c>
      <c r="E63" s="24">
        <f>E51+E52+E53+E54+E55+E56+E57+E58+E59+E60+E61+E62</f>
        <v>5425.1399999999994</v>
      </c>
      <c r="F63" s="25">
        <f t="shared" si="12"/>
        <v>99.984150387025423</v>
      </c>
    </row>
    <row r="64" spans="1:6" ht="15" customHeight="1" x14ac:dyDescent="0.25">
      <c r="A64" s="154" t="s">
        <v>25</v>
      </c>
      <c r="B64" s="155"/>
      <c r="C64" s="155"/>
      <c r="D64" s="155"/>
      <c r="E64" s="155"/>
      <c r="F64" s="156"/>
    </row>
    <row r="65" spans="1:8" ht="15" customHeight="1" x14ac:dyDescent="0.25">
      <c r="A65" s="15" t="s">
        <v>3</v>
      </c>
      <c r="B65" s="6">
        <v>20</v>
      </c>
      <c r="C65" s="6" t="s">
        <v>22</v>
      </c>
      <c r="D65" s="7">
        <f>D80-D9</f>
        <v>28696.100000000002</v>
      </c>
      <c r="E65" s="7">
        <f>E80-E9</f>
        <v>28536</v>
      </c>
      <c r="F65" s="7">
        <f t="shared" si="11"/>
        <v>99.442084464439404</v>
      </c>
      <c r="G65" s="9"/>
      <c r="H65" s="9"/>
    </row>
    <row r="66" spans="1:8" ht="15" customHeight="1" x14ac:dyDescent="0.25">
      <c r="A66" s="15" t="s">
        <v>2</v>
      </c>
      <c r="B66" s="6">
        <v>11</v>
      </c>
      <c r="C66" s="6" t="s">
        <v>22</v>
      </c>
      <c r="D66" s="7">
        <f>D83-D12</f>
        <v>35522.300000000003</v>
      </c>
      <c r="E66" s="7">
        <f>E83-E12</f>
        <v>33786.199999999997</v>
      </c>
      <c r="F66" s="7">
        <f t="shared" si="11"/>
        <v>95.11264754815987</v>
      </c>
    </row>
    <row r="67" spans="1:8" ht="15" customHeight="1" x14ac:dyDescent="0.25">
      <c r="A67" s="15" t="s">
        <v>4</v>
      </c>
      <c r="B67" s="6">
        <v>12</v>
      </c>
      <c r="C67" s="6" t="s">
        <v>22</v>
      </c>
      <c r="D67" s="7">
        <f>D86-D15</f>
        <v>36075.099999999991</v>
      </c>
      <c r="E67" s="7">
        <f>E86-E15</f>
        <v>35598.999999999993</v>
      </c>
      <c r="F67" s="7">
        <f t="shared" si="11"/>
        <v>98.680253138591439</v>
      </c>
    </row>
    <row r="68" spans="1:8" ht="15" customHeight="1" x14ac:dyDescent="0.25">
      <c r="A68" s="51" t="s">
        <v>5</v>
      </c>
      <c r="B68" s="52">
        <v>21</v>
      </c>
      <c r="C68" s="6" t="s">
        <v>22</v>
      </c>
      <c r="D68" s="53">
        <f>D89-D18</f>
        <v>58912.299999999996</v>
      </c>
      <c r="E68" s="53">
        <f>E89-E18</f>
        <v>54345.899999999987</v>
      </c>
      <c r="F68" s="7">
        <f t="shared" si="11"/>
        <v>92.248817309797772</v>
      </c>
    </row>
    <row r="69" spans="1:8" ht="15" customHeight="1" x14ac:dyDescent="0.25">
      <c r="A69" s="15" t="s">
        <v>6</v>
      </c>
      <c r="B69" s="6">
        <v>18</v>
      </c>
      <c r="C69" s="6" t="s">
        <v>22</v>
      </c>
      <c r="D69" s="7">
        <f>D92-D21</f>
        <v>35251.589999999997</v>
      </c>
      <c r="E69" s="7">
        <f>E92-E21</f>
        <v>34975.9</v>
      </c>
      <c r="F69" s="7">
        <f t="shared" si="11"/>
        <v>99.217935985298837</v>
      </c>
    </row>
    <row r="70" spans="1:8" ht="15" customHeight="1" x14ac:dyDescent="0.25">
      <c r="A70" s="15" t="s">
        <v>7</v>
      </c>
      <c r="B70" s="6">
        <v>18</v>
      </c>
      <c r="C70" s="6" t="s">
        <v>22</v>
      </c>
      <c r="D70" s="7">
        <f>D96-D25</f>
        <v>41454.6</v>
      </c>
      <c r="E70" s="7">
        <f>E96-E25</f>
        <v>41177.700000000004</v>
      </c>
      <c r="F70" s="7">
        <f t="shared" si="11"/>
        <v>99.332040352578503</v>
      </c>
      <c r="G70" s="9"/>
    </row>
    <row r="71" spans="1:8" ht="15" customHeight="1" x14ac:dyDescent="0.25">
      <c r="A71" s="15" t="s">
        <v>8</v>
      </c>
      <c r="B71" s="6">
        <v>20</v>
      </c>
      <c r="C71" s="6" t="s">
        <v>22</v>
      </c>
      <c r="D71" s="7">
        <f>D99-D28</f>
        <v>253389</v>
      </c>
      <c r="E71" s="7">
        <f>E99-E28</f>
        <v>198318.32000000004</v>
      </c>
      <c r="F71" s="7">
        <f t="shared" si="11"/>
        <v>78.266349367967848</v>
      </c>
    </row>
    <row r="72" spans="1:8" ht="15" customHeight="1" x14ac:dyDescent="0.25">
      <c r="A72" s="15" t="s">
        <v>9</v>
      </c>
      <c r="B72" s="6">
        <v>20</v>
      </c>
      <c r="C72" s="6" t="s">
        <v>22</v>
      </c>
      <c r="D72" s="7">
        <f>D102-D31</f>
        <v>40168.700000000004</v>
      </c>
      <c r="E72" s="7">
        <f>E102-E31</f>
        <v>36711.199999999997</v>
      </c>
      <c r="F72" s="7">
        <f t="shared" si="11"/>
        <v>91.392551912309813</v>
      </c>
    </row>
    <row r="73" spans="1:8" ht="15" customHeight="1" x14ac:dyDescent="0.25">
      <c r="A73" s="15" t="s">
        <v>10</v>
      </c>
      <c r="B73" s="6">
        <v>25</v>
      </c>
      <c r="C73" s="6" t="s">
        <v>22</v>
      </c>
      <c r="D73" s="7">
        <f>D105-D34</f>
        <v>30831.200000000001</v>
      </c>
      <c r="E73" s="7">
        <f>E105-E34</f>
        <v>27173.700000000004</v>
      </c>
      <c r="F73" s="7">
        <f t="shared" si="11"/>
        <v>88.137017047666006</v>
      </c>
    </row>
    <row r="74" spans="1:8" ht="15" customHeight="1" x14ac:dyDescent="0.25">
      <c r="A74" s="15" t="s">
        <v>11</v>
      </c>
      <c r="B74" s="6">
        <v>19</v>
      </c>
      <c r="C74" s="6" t="s">
        <v>22</v>
      </c>
      <c r="D74" s="7">
        <f>D108-D37</f>
        <v>31337.700000000015</v>
      </c>
      <c r="E74" s="7">
        <f>E108-E37</f>
        <v>30096.500000000011</v>
      </c>
      <c r="F74" s="7">
        <f t="shared" si="11"/>
        <v>96.039275377580353</v>
      </c>
    </row>
    <row r="75" spans="1:8" ht="15" customHeight="1" x14ac:dyDescent="0.25">
      <c r="A75" s="15" t="s">
        <v>12</v>
      </c>
      <c r="B75" s="6">
        <v>25</v>
      </c>
      <c r="C75" s="6" t="s">
        <v>22</v>
      </c>
      <c r="D75" s="7">
        <f>D111-D40</f>
        <v>40687.199999999997</v>
      </c>
      <c r="E75" s="7">
        <f>E111-E40</f>
        <v>40207</v>
      </c>
      <c r="F75" s="7">
        <f t="shared" si="11"/>
        <v>98.819776244125919</v>
      </c>
    </row>
    <row r="76" spans="1:8" ht="15" customHeight="1" x14ac:dyDescent="0.25">
      <c r="A76" s="15" t="s">
        <v>13</v>
      </c>
      <c r="B76" s="6">
        <v>28</v>
      </c>
      <c r="C76" s="6" t="s">
        <v>22</v>
      </c>
      <c r="D76" s="7">
        <f>D115-D44</f>
        <v>219934.89999999997</v>
      </c>
      <c r="E76" s="7">
        <f>E115-E44</f>
        <v>204021.00000000006</v>
      </c>
      <c r="F76" s="7">
        <f t="shared" si="11"/>
        <v>92.764267972022679</v>
      </c>
    </row>
    <row r="77" spans="1:8" s="26" customFormat="1" ht="15" customHeight="1" x14ac:dyDescent="0.25">
      <c r="A77" s="22" t="s">
        <v>14</v>
      </c>
      <c r="B77" s="23">
        <f>SUM(B65:B76)</f>
        <v>237</v>
      </c>
      <c r="C77" s="23" t="s">
        <v>15</v>
      </c>
      <c r="D77" s="24">
        <f>D65+D66+D67+D68+D69+D70+D71+D72+D73+D74+D75+D76</f>
        <v>852260.69</v>
      </c>
      <c r="E77" s="24">
        <f>E65+E66+E67+E68+E69+E70+E71+E72+E73+E74+E75+E76</f>
        <v>764948.42000000016</v>
      </c>
      <c r="F77" s="25">
        <f t="shared" si="11"/>
        <v>89.755215625397454</v>
      </c>
      <c r="G77" s="38"/>
      <c r="H77" s="38"/>
    </row>
    <row r="78" spans="1:8" ht="15" customHeight="1" x14ac:dyDescent="0.25">
      <c r="A78" s="154" t="s">
        <v>0</v>
      </c>
      <c r="B78" s="155"/>
      <c r="C78" s="155"/>
      <c r="D78" s="155"/>
      <c r="E78" s="155"/>
      <c r="F78" s="156"/>
    </row>
    <row r="79" spans="1:8" ht="15" customHeight="1" x14ac:dyDescent="0.25">
      <c r="A79" s="136" t="s">
        <v>3</v>
      </c>
      <c r="B79" s="139">
        <f>B8+B65</f>
        <v>22</v>
      </c>
      <c r="C79" s="6" t="s">
        <v>21</v>
      </c>
      <c r="D79" s="54">
        <f>общие!D419</f>
        <v>3995.6</v>
      </c>
      <c r="E79" s="54">
        <f>общие!E419</f>
        <v>3995.6</v>
      </c>
      <c r="F79" s="7">
        <f t="shared" si="11"/>
        <v>100</v>
      </c>
    </row>
    <row r="80" spans="1:8" ht="15" customHeight="1" x14ac:dyDescent="0.25">
      <c r="A80" s="137"/>
      <c r="B80" s="140"/>
      <c r="C80" s="6" t="s">
        <v>22</v>
      </c>
      <c r="D80" s="7">
        <f>общие!D420</f>
        <v>29491.7</v>
      </c>
      <c r="E80" s="7">
        <f>общие!E420</f>
        <v>29331.63</v>
      </c>
      <c r="F80" s="7">
        <f t="shared" si="11"/>
        <v>99.457237120952684</v>
      </c>
    </row>
    <row r="81" spans="1:6" s="29" customFormat="1" ht="15" customHeight="1" x14ac:dyDescent="0.25">
      <c r="A81" s="138"/>
      <c r="B81" s="141"/>
      <c r="C81" s="27" t="s">
        <v>24</v>
      </c>
      <c r="D81" s="28">
        <f>D79+D80</f>
        <v>33487.300000000003</v>
      </c>
      <c r="E81" s="28">
        <f>E79+E80</f>
        <v>33327.230000000003</v>
      </c>
      <c r="F81" s="28">
        <f t="shared" si="11"/>
        <v>99.521997891738067</v>
      </c>
    </row>
    <row r="82" spans="1:6" ht="15" customHeight="1" x14ac:dyDescent="0.25">
      <c r="A82" s="136" t="s">
        <v>2</v>
      </c>
      <c r="B82" s="139">
        <f>B11+B66</f>
        <v>13</v>
      </c>
      <c r="C82" s="6" t="s">
        <v>21</v>
      </c>
      <c r="D82" s="30">
        <f>общие!D422</f>
        <v>6949.7</v>
      </c>
      <c r="E82" s="30">
        <f>общие!E422</f>
        <v>6691.2999999999993</v>
      </c>
      <c r="F82" s="7">
        <f t="shared" ref="F82:F120" si="13">E82/D82*100</f>
        <v>96.281853892973785</v>
      </c>
    </row>
    <row r="83" spans="1:6" ht="15" customHeight="1" x14ac:dyDescent="0.25">
      <c r="A83" s="137"/>
      <c r="B83" s="140"/>
      <c r="C83" s="6" t="s">
        <v>22</v>
      </c>
      <c r="D83" s="7">
        <f>общие!D423</f>
        <v>37501.200000000004</v>
      </c>
      <c r="E83" s="7">
        <f>общие!E423</f>
        <v>35765.14</v>
      </c>
      <c r="F83" s="7">
        <f t="shared" si="13"/>
        <v>95.370654805712874</v>
      </c>
    </row>
    <row r="84" spans="1:6" s="57" customFormat="1" ht="15" customHeight="1" x14ac:dyDescent="0.25">
      <c r="A84" s="138"/>
      <c r="B84" s="141"/>
      <c r="C84" s="55" t="s">
        <v>24</v>
      </c>
      <c r="D84" s="56">
        <f>D82+D83</f>
        <v>44450.9</v>
      </c>
      <c r="E84" s="56">
        <f>E82+E83</f>
        <v>42456.44</v>
      </c>
      <c r="F84" s="56">
        <f t="shared" si="13"/>
        <v>95.513116719796457</v>
      </c>
    </row>
    <row r="85" spans="1:6" ht="15" customHeight="1" x14ac:dyDescent="0.25">
      <c r="A85" s="136" t="s">
        <v>4</v>
      </c>
      <c r="B85" s="139">
        <f>B14+B67</f>
        <v>13</v>
      </c>
      <c r="C85" s="6" t="s">
        <v>21</v>
      </c>
      <c r="D85" s="30">
        <f>общие!D425</f>
        <v>2345.6</v>
      </c>
      <c r="E85" s="30">
        <f>общие!E425</f>
        <v>2345.6</v>
      </c>
      <c r="F85" s="7">
        <f t="shared" si="13"/>
        <v>100</v>
      </c>
    </row>
    <row r="86" spans="1:6" ht="15" customHeight="1" x14ac:dyDescent="0.25">
      <c r="A86" s="137"/>
      <c r="B86" s="140"/>
      <c r="C86" s="6" t="s">
        <v>22</v>
      </c>
      <c r="D86" s="7">
        <f>общие!D426</f>
        <v>36928.299999999988</v>
      </c>
      <c r="E86" s="7">
        <f>общие!E426</f>
        <v>36452.19999999999</v>
      </c>
      <c r="F86" s="7">
        <f t="shared" si="13"/>
        <v>98.710744875881105</v>
      </c>
    </row>
    <row r="87" spans="1:6" s="29" customFormat="1" ht="15" customHeight="1" x14ac:dyDescent="0.25">
      <c r="A87" s="138"/>
      <c r="B87" s="141"/>
      <c r="C87" s="27" t="s">
        <v>24</v>
      </c>
      <c r="D87" s="28">
        <f>D85+D86</f>
        <v>39273.899999999987</v>
      </c>
      <c r="E87" s="28">
        <f>E85+E86</f>
        <v>38797.799999999988</v>
      </c>
      <c r="F87" s="28">
        <f t="shared" si="13"/>
        <v>98.787744532628537</v>
      </c>
    </row>
    <row r="88" spans="1:6" ht="15" customHeight="1" x14ac:dyDescent="0.25">
      <c r="A88" s="148" t="s">
        <v>5</v>
      </c>
      <c r="B88" s="151">
        <f>B17+B68</f>
        <v>22</v>
      </c>
      <c r="C88" s="6" t="s">
        <v>21</v>
      </c>
      <c r="D88" s="30">
        <f>общие!D428</f>
        <v>3164.5</v>
      </c>
      <c r="E88" s="30">
        <f>общие!E428</f>
        <v>3164.5</v>
      </c>
      <c r="F88" s="7">
        <f t="shared" si="13"/>
        <v>100</v>
      </c>
    </row>
    <row r="89" spans="1:6" ht="15" customHeight="1" x14ac:dyDescent="0.25">
      <c r="A89" s="149"/>
      <c r="B89" s="152"/>
      <c r="C89" s="6" t="s">
        <v>22</v>
      </c>
      <c r="D89" s="7">
        <f>общие!D429</f>
        <v>60152.2</v>
      </c>
      <c r="E89" s="7">
        <f>общие!E429</f>
        <v>55585.799999999988</v>
      </c>
      <c r="F89" s="7">
        <f t="shared" si="13"/>
        <v>92.408590209501881</v>
      </c>
    </row>
    <row r="90" spans="1:6" s="29" customFormat="1" ht="15" customHeight="1" x14ac:dyDescent="0.25">
      <c r="A90" s="150"/>
      <c r="B90" s="153"/>
      <c r="C90" s="27" t="s">
        <v>24</v>
      </c>
      <c r="D90" s="28">
        <f>D88+D89</f>
        <v>63316.7</v>
      </c>
      <c r="E90" s="28">
        <f>E88+E89</f>
        <v>58750.299999999988</v>
      </c>
      <c r="F90" s="28">
        <f t="shared" si="13"/>
        <v>92.7880006380623</v>
      </c>
    </row>
    <row r="91" spans="1:6" ht="15" customHeight="1" x14ac:dyDescent="0.25">
      <c r="A91" s="136" t="s">
        <v>6</v>
      </c>
      <c r="B91" s="139">
        <f>B20+B69</f>
        <v>20</v>
      </c>
      <c r="C91" s="6" t="s">
        <v>21</v>
      </c>
      <c r="D91" s="30">
        <f>общие!D440</f>
        <v>12686.099999999999</v>
      </c>
      <c r="E91" s="30">
        <f>общие!E440</f>
        <v>9193.9</v>
      </c>
      <c r="F91" s="7">
        <f t="shared" si="13"/>
        <v>72.472233389300101</v>
      </c>
    </row>
    <row r="92" spans="1:6" ht="15" customHeight="1" x14ac:dyDescent="0.25">
      <c r="A92" s="137"/>
      <c r="B92" s="140"/>
      <c r="C92" s="6" t="s">
        <v>22</v>
      </c>
      <c r="D92" s="7">
        <f>общие!D441</f>
        <v>39567.729999999996</v>
      </c>
      <c r="E92" s="7">
        <f>общие!E441</f>
        <v>39292</v>
      </c>
      <c r="F92" s="7">
        <f t="shared" si="13"/>
        <v>99.303144254168757</v>
      </c>
    </row>
    <row r="93" spans="1:6" s="29" customFormat="1" ht="15" customHeight="1" x14ac:dyDescent="0.25">
      <c r="A93" s="138"/>
      <c r="B93" s="141"/>
      <c r="C93" s="27" t="s">
        <v>24</v>
      </c>
      <c r="D93" s="28">
        <f>D91+D92</f>
        <v>52253.829999999994</v>
      </c>
      <c r="E93" s="28">
        <f>E91+E92</f>
        <v>48485.9</v>
      </c>
      <c r="F93" s="28">
        <f t="shared" si="13"/>
        <v>92.789179281212512</v>
      </c>
    </row>
    <row r="94" spans="1:6" s="29" customFormat="1" ht="15" customHeight="1" x14ac:dyDescent="0.25">
      <c r="A94" s="136" t="s">
        <v>7</v>
      </c>
      <c r="B94" s="139">
        <f>B23+B70</f>
        <v>20</v>
      </c>
      <c r="C94" s="52" t="s">
        <v>315</v>
      </c>
      <c r="D94" s="53">
        <f>общие!D443</f>
        <v>720</v>
      </c>
      <c r="E94" s="53">
        <f>общие!E443</f>
        <v>720</v>
      </c>
      <c r="F94" s="53">
        <f t="shared" si="13"/>
        <v>100</v>
      </c>
    </row>
    <row r="95" spans="1:6" ht="15" customHeight="1" x14ac:dyDescent="0.25">
      <c r="A95" s="137"/>
      <c r="B95" s="140"/>
      <c r="C95" s="52" t="s">
        <v>21</v>
      </c>
      <c r="D95" s="66">
        <f>общие!D444</f>
        <v>9665</v>
      </c>
      <c r="E95" s="66">
        <f>общие!E444</f>
        <v>9219.74</v>
      </c>
      <c r="F95" s="53">
        <f t="shared" si="13"/>
        <v>95.393067770305223</v>
      </c>
    </row>
    <row r="96" spans="1:6" ht="15" customHeight="1" x14ac:dyDescent="0.25">
      <c r="A96" s="137"/>
      <c r="B96" s="140"/>
      <c r="C96" s="6" t="s">
        <v>22</v>
      </c>
      <c r="D96" s="7">
        <f>общие!D445</f>
        <v>44151</v>
      </c>
      <c r="E96" s="7">
        <f>общие!E445</f>
        <v>43874.100000000006</v>
      </c>
      <c r="F96" s="7">
        <f t="shared" si="13"/>
        <v>99.372834137392147</v>
      </c>
    </row>
    <row r="97" spans="1:6" s="29" customFormat="1" ht="15" customHeight="1" x14ac:dyDescent="0.25">
      <c r="A97" s="138"/>
      <c r="B97" s="141"/>
      <c r="C97" s="27" t="s">
        <v>24</v>
      </c>
      <c r="D97" s="28">
        <f>D95+D96+D94</f>
        <v>54536</v>
      </c>
      <c r="E97" s="28">
        <f>E95+E96+E94</f>
        <v>53813.840000000004</v>
      </c>
      <c r="F97" s="28">
        <f t="shared" si="13"/>
        <v>98.675810473815474</v>
      </c>
    </row>
    <row r="98" spans="1:6" ht="15" customHeight="1" x14ac:dyDescent="0.25">
      <c r="A98" s="136" t="s">
        <v>8</v>
      </c>
      <c r="B98" s="139">
        <f>B27+B71</f>
        <v>21</v>
      </c>
      <c r="C98" s="6" t="s">
        <v>21</v>
      </c>
      <c r="D98" s="30">
        <f>общие!D447</f>
        <v>4379.3999999999996</v>
      </c>
      <c r="E98" s="30">
        <f>общие!E447</f>
        <v>4379.3999999999996</v>
      </c>
      <c r="F98" s="7">
        <f t="shared" si="13"/>
        <v>100</v>
      </c>
    </row>
    <row r="99" spans="1:6" ht="15" customHeight="1" x14ac:dyDescent="0.25">
      <c r="A99" s="137"/>
      <c r="B99" s="140"/>
      <c r="C99" s="6" t="s">
        <v>22</v>
      </c>
      <c r="D99" s="7">
        <f>общие!D448</f>
        <v>256078.3</v>
      </c>
      <c r="E99" s="7">
        <f>общие!E448</f>
        <v>200451.52000000005</v>
      </c>
      <c r="F99" s="7">
        <f t="shared" si="13"/>
        <v>78.27743311323141</v>
      </c>
    </row>
    <row r="100" spans="1:6" s="29" customFormat="1" ht="15" customHeight="1" x14ac:dyDescent="0.25">
      <c r="A100" s="138"/>
      <c r="B100" s="141"/>
      <c r="C100" s="27" t="s">
        <v>24</v>
      </c>
      <c r="D100" s="28">
        <f>D98+D99</f>
        <v>260457.69999999998</v>
      </c>
      <c r="E100" s="28">
        <f>E98+E99</f>
        <v>204830.92000000004</v>
      </c>
      <c r="F100" s="28">
        <f t="shared" si="13"/>
        <v>78.642681709928354</v>
      </c>
    </row>
    <row r="101" spans="1:6" ht="15" customHeight="1" x14ac:dyDescent="0.25">
      <c r="A101" s="136" t="s">
        <v>9</v>
      </c>
      <c r="B101" s="139">
        <f>B30+B72</f>
        <v>23</v>
      </c>
      <c r="C101" s="6" t="s">
        <v>21</v>
      </c>
      <c r="D101" s="30">
        <f>общие!D437</f>
        <v>9413.5</v>
      </c>
      <c r="E101" s="30">
        <f>общие!E437</f>
        <v>5989.9</v>
      </c>
      <c r="F101" s="7">
        <f t="shared" si="13"/>
        <v>63.630955542571833</v>
      </c>
    </row>
    <row r="102" spans="1:6" ht="15" customHeight="1" x14ac:dyDescent="0.25">
      <c r="A102" s="137"/>
      <c r="B102" s="140"/>
      <c r="C102" s="6" t="s">
        <v>22</v>
      </c>
      <c r="D102" s="7">
        <f>общие!D438</f>
        <v>42778.200000000004</v>
      </c>
      <c r="E102" s="7">
        <f>общие!E438</f>
        <v>38594</v>
      </c>
      <c r="F102" s="7">
        <f t="shared" si="13"/>
        <v>90.218849787976112</v>
      </c>
    </row>
    <row r="103" spans="1:6" s="29" customFormat="1" ht="15" customHeight="1" x14ac:dyDescent="0.25">
      <c r="A103" s="138"/>
      <c r="B103" s="141"/>
      <c r="C103" s="27" t="s">
        <v>24</v>
      </c>
      <c r="D103" s="28">
        <f>D101+D102</f>
        <v>52191.700000000004</v>
      </c>
      <c r="E103" s="28">
        <f>E101+E102</f>
        <v>44583.9</v>
      </c>
      <c r="F103" s="28">
        <f t="shared" si="13"/>
        <v>85.423352755323151</v>
      </c>
    </row>
    <row r="104" spans="1:6" ht="15" customHeight="1" x14ac:dyDescent="0.25">
      <c r="A104" s="136" t="s">
        <v>10</v>
      </c>
      <c r="B104" s="139">
        <f>B33+B73</f>
        <v>27</v>
      </c>
      <c r="C104" s="6" t="s">
        <v>21</v>
      </c>
      <c r="D104" s="30">
        <f>общие!D431</f>
        <v>23128.600000000002</v>
      </c>
      <c r="E104" s="30">
        <f>общие!E431</f>
        <v>20781.800000000003</v>
      </c>
      <c r="F104" s="7">
        <f t="shared" si="13"/>
        <v>89.853255277016345</v>
      </c>
    </row>
    <row r="105" spans="1:6" ht="15" customHeight="1" x14ac:dyDescent="0.25">
      <c r="A105" s="137"/>
      <c r="B105" s="140"/>
      <c r="C105" s="6" t="s">
        <v>22</v>
      </c>
      <c r="D105" s="7">
        <f>общие!D432</f>
        <v>32653.600000000002</v>
      </c>
      <c r="E105" s="7">
        <f>общие!E432</f>
        <v>28996.100000000006</v>
      </c>
      <c r="F105" s="7">
        <f t="shared" si="13"/>
        <v>88.799091064997441</v>
      </c>
    </row>
    <row r="106" spans="1:6" s="29" customFormat="1" ht="15" customHeight="1" x14ac:dyDescent="0.25">
      <c r="A106" s="138"/>
      <c r="B106" s="141"/>
      <c r="C106" s="27" t="s">
        <v>24</v>
      </c>
      <c r="D106" s="28">
        <f>D104+D105</f>
        <v>55782.200000000004</v>
      </c>
      <c r="E106" s="28">
        <f>E104+E105</f>
        <v>49777.900000000009</v>
      </c>
      <c r="F106" s="28">
        <f t="shared" si="13"/>
        <v>89.23617211225087</v>
      </c>
    </row>
    <row r="107" spans="1:6" ht="15" customHeight="1" x14ac:dyDescent="0.25">
      <c r="A107" s="136" t="s">
        <v>11</v>
      </c>
      <c r="B107" s="139">
        <f>B36+B74</f>
        <v>24</v>
      </c>
      <c r="C107" s="6" t="s">
        <v>21</v>
      </c>
      <c r="D107" s="30">
        <f>общие!D434</f>
        <v>11832.300000000001</v>
      </c>
      <c r="E107" s="30">
        <f>общие!E434</f>
        <v>11708.050000000001</v>
      </c>
      <c r="F107" s="7">
        <f t="shared" si="13"/>
        <v>98.949908301851707</v>
      </c>
    </row>
    <row r="108" spans="1:6" ht="15" customHeight="1" x14ac:dyDescent="0.25">
      <c r="A108" s="137"/>
      <c r="B108" s="140"/>
      <c r="C108" s="6" t="s">
        <v>22</v>
      </c>
      <c r="D108" s="7">
        <f>общие!D435</f>
        <v>34042.500000000015</v>
      </c>
      <c r="E108" s="7">
        <f>общие!E435</f>
        <v>32792.30000000001</v>
      </c>
      <c r="F108" s="7">
        <f t="shared" si="13"/>
        <v>96.32753176176837</v>
      </c>
    </row>
    <row r="109" spans="1:6" s="29" customFormat="1" ht="15" customHeight="1" x14ac:dyDescent="0.25">
      <c r="A109" s="138"/>
      <c r="B109" s="141"/>
      <c r="C109" s="27" t="s">
        <v>24</v>
      </c>
      <c r="D109" s="28">
        <f>D107+D108</f>
        <v>45874.800000000017</v>
      </c>
      <c r="E109" s="28">
        <f>E107+E108</f>
        <v>44500.350000000013</v>
      </c>
      <c r="F109" s="28">
        <f t="shared" si="13"/>
        <v>97.003910643752107</v>
      </c>
    </row>
    <row r="110" spans="1:6" ht="15" customHeight="1" x14ac:dyDescent="0.25">
      <c r="A110" s="136" t="s">
        <v>12</v>
      </c>
      <c r="B110" s="139">
        <f>B39+B75</f>
        <v>27</v>
      </c>
      <c r="C110" s="6" t="s">
        <v>21</v>
      </c>
      <c r="D110" s="30">
        <f>общие!D450</f>
        <v>5032.3</v>
      </c>
      <c r="E110" s="30">
        <f>общие!E450</f>
        <v>5017.9400000000005</v>
      </c>
      <c r="F110" s="7">
        <f t="shared" si="13"/>
        <v>99.714643403612669</v>
      </c>
    </row>
    <row r="111" spans="1:6" ht="15" customHeight="1" x14ac:dyDescent="0.25">
      <c r="A111" s="137"/>
      <c r="B111" s="140"/>
      <c r="C111" s="6" t="s">
        <v>22</v>
      </c>
      <c r="D111" s="7">
        <f>общие!D451</f>
        <v>41477.1</v>
      </c>
      <c r="E111" s="7">
        <f>общие!E451</f>
        <v>40996.9</v>
      </c>
      <c r="F111" s="7">
        <f t="shared" si="13"/>
        <v>98.842252712942809</v>
      </c>
    </row>
    <row r="112" spans="1:6" s="29" customFormat="1" ht="15" customHeight="1" x14ac:dyDescent="0.25">
      <c r="A112" s="138"/>
      <c r="B112" s="141"/>
      <c r="C112" s="27" t="s">
        <v>24</v>
      </c>
      <c r="D112" s="28">
        <f>D110+D111</f>
        <v>46509.4</v>
      </c>
      <c r="E112" s="28">
        <f>E110+E111</f>
        <v>46014.840000000004</v>
      </c>
      <c r="F112" s="28">
        <f t="shared" si="13"/>
        <v>98.936645065298634</v>
      </c>
    </row>
    <row r="113" spans="1:7" s="29" customFormat="1" ht="15" customHeight="1" x14ac:dyDescent="0.25">
      <c r="A113" s="136" t="s">
        <v>13</v>
      </c>
      <c r="B113" s="139">
        <f>B42+B76</f>
        <v>32</v>
      </c>
      <c r="C113" s="52" t="s">
        <v>315</v>
      </c>
      <c r="D113" s="53">
        <f>общие!D453</f>
        <v>5947.6</v>
      </c>
      <c r="E113" s="53">
        <f>общие!E453</f>
        <v>5703.43</v>
      </c>
      <c r="F113" s="7">
        <f t="shared" si="13"/>
        <v>95.894646580133156</v>
      </c>
    </row>
    <row r="114" spans="1:7" ht="15" customHeight="1" x14ac:dyDescent="0.25">
      <c r="A114" s="137"/>
      <c r="B114" s="140"/>
      <c r="C114" s="6" t="s">
        <v>21</v>
      </c>
      <c r="D114" s="30">
        <f>общие!D454</f>
        <v>52989.599999999991</v>
      </c>
      <c r="E114" s="30">
        <f>общие!E454</f>
        <v>49354.81</v>
      </c>
      <c r="F114" s="7">
        <f t="shared" si="13"/>
        <v>93.140559656989311</v>
      </c>
    </row>
    <row r="115" spans="1:7" ht="15" customHeight="1" x14ac:dyDescent="0.25">
      <c r="A115" s="137"/>
      <c r="B115" s="140"/>
      <c r="C115" s="6" t="s">
        <v>22</v>
      </c>
      <c r="D115" s="7">
        <f>общие!D455</f>
        <v>232112.99999999997</v>
      </c>
      <c r="E115" s="7">
        <f>общие!E455</f>
        <v>216098.18000000005</v>
      </c>
      <c r="F115" s="7">
        <f t="shared" si="13"/>
        <v>93.100420915674732</v>
      </c>
    </row>
    <row r="116" spans="1:7" s="29" customFormat="1" ht="15" customHeight="1" x14ac:dyDescent="0.25">
      <c r="A116" s="138"/>
      <c r="B116" s="141"/>
      <c r="C116" s="27" t="s">
        <v>24</v>
      </c>
      <c r="D116" s="28">
        <f>D114+D115+D113</f>
        <v>291050.19999999995</v>
      </c>
      <c r="E116" s="28">
        <f>E114+E115+E113</f>
        <v>271156.42000000004</v>
      </c>
      <c r="F116" s="28">
        <f t="shared" si="13"/>
        <v>93.164828610322232</v>
      </c>
    </row>
    <row r="117" spans="1:7" s="29" customFormat="1" ht="15" customHeight="1" x14ac:dyDescent="0.25">
      <c r="A117" s="142" t="s">
        <v>314</v>
      </c>
      <c r="B117" s="145">
        <f>B46+B77</f>
        <v>264</v>
      </c>
      <c r="C117" s="11" t="s">
        <v>315</v>
      </c>
      <c r="D117" s="12">
        <f>D113+D94</f>
        <v>6667.6</v>
      </c>
      <c r="E117" s="12">
        <f>E113+E94</f>
        <v>6423.43</v>
      </c>
      <c r="F117" s="12">
        <f t="shared" si="13"/>
        <v>96.33796268522407</v>
      </c>
      <c r="G117" s="118"/>
    </row>
    <row r="118" spans="1:7" s="13" customFormat="1" ht="15" customHeight="1" x14ac:dyDescent="0.25">
      <c r="A118" s="143"/>
      <c r="B118" s="146"/>
      <c r="C118" s="11" t="s">
        <v>21</v>
      </c>
      <c r="D118" s="12">
        <f>D79+D82+D85+D88+D91+D95+D98+D101+D104+D107+D110+D114</f>
        <v>145582.20000000001</v>
      </c>
      <c r="E118" s="12">
        <f>E79+E82+E85+E88+E91+E95+E98+E101+E104+E107+E110+E114</f>
        <v>131842.54</v>
      </c>
      <c r="F118" s="12">
        <f t="shared" si="13"/>
        <v>90.56226654082711</v>
      </c>
      <c r="G118" s="118"/>
    </row>
    <row r="119" spans="1:7" s="13" customFormat="1" ht="15" customHeight="1" x14ac:dyDescent="0.25">
      <c r="A119" s="143"/>
      <c r="B119" s="146"/>
      <c r="C119" s="11" t="s">
        <v>22</v>
      </c>
      <c r="D119" s="12">
        <f>D80+D83+D86+D89+D92+D96+D99+D102+D105+D108+D111+D115</f>
        <v>886934.83</v>
      </c>
      <c r="E119" s="12">
        <f>E80+E83+E86+E89+E92+E96+E99+E102+E105+E108+E111+E115</f>
        <v>798229.87000000011</v>
      </c>
      <c r="F119" s="12">
        <f t="shared" si="13"/>
        <v>89.998705992863108</v>
      </c>
      <c r="G119" s="118"/>
    </row>
    <row r="120" spans="1:7" s="13" customFormat="1" ht="15" customHeight="1" x14ac:dyDescent="0.25">
      <c r="A120" s="144"/>
      <c r="B120" s="147"/>
      <c r="C120" s="11" t="s">
        <v>24</v>
      </c>
      <c r="D120" s="12">
        <f>D118+D119+D117</f>
        <v>1039184.63</v>
      </c>
      <c r="E120" s="12">
        <f>E118+E119+E117</f>
        <v>936495.8400000002</v>
      </c>
      <c r="F120" s="12">
        <f t="shared" si="13"/>
        <v>90.118330560758992</v>
      </c>
      <c r="G120" s="118"/>
    </row>
    <row r="123" spans="1:7" s="1" customFormat="1" ht="18.75" x14ac:dyDescent="0.25">
      <c r="A123" s="16" t="s">
        <v>27</v>
      </c>
      <c r="C123" s="2"/>
      <c r="D123" s="3"/>
      <c r="E123" s="3"/>
      <c r="F123" s="4" t="s">
        <v>28</v>
      </c>
    </row>
  </sheetData>
  <mergeCells count="58">
    <mergeCell ref="B20:B22"/>
    <mergeCell ref="D1:F1"/>
    <mergeCell ref="B27:B29"/>
    <mergeCell ref="B30:B32"/>
    <mergeCell ref="B33:B35"/>
    <mergeCell ref="A3:F3"/>
    <mergeCell ref="A7:F7"/>
    <mergeCell ref="A11:A13"/>
    <mergeCell ref="A14:A16"/>
    <mergeCell ref="A17:A19"/>
    <mergeCell ref="B8:B10"/>
    <mergeCell ref="B11:B13"/>
    <mergeCell ref="B14:B16"/>
    <mergeCell ref="B17:B19"/>
    <mergeCell ref="A8:A10"/>
    <mergeCell ref="A20:A22"/>
    <mergeCell ref="A23:A26"/>
    <mergeCell ref="B23:B26"/>
    <mergeCell ref="B42:B45"/>
    <mergeCell ref="B46:B49"/>
    <mergeCell ref="A46:A49"/>
    <mergeCell ref="A27:A29"/>
    <mergeCell ref="A30:A32"/>
    <mergeCell ref="A50:F50"/>
    <mergeCell ref="A33:A35"/>
    <mergeCell ref="A36:A38"/>
    <mergeCell ref="A39:A41"/>
    <mergeCell ref="A64:F64"/>
    <mergeCell ref="A42:A45"/>
    <mergeCell ref="B39:B41"/>
    <mergeCell ref="B36:B38"/>
    <mergeCell ref="A78:F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8:A100"/>
    <mergeCell ref="B98:B100"/>
    <mergeCell ref="A94:A97"/>
    <mergeCell ref="B94:B97"/>
    <mergeCell ref="A101:A103"/>
    <mergeCell ref="B101:B103"/>
    <mergeCell ref="A113:A116"/>
    <mergeCell ref="B113:B116"/>
    <mergeCell ref="A117:A120"/>
    <mergeCell ref="B117:B120"/>
    <mergeCell ref="A104:A106"/>
    <mergeCell ref="B104:B106"/>
    <mergeCell ref="A107:A109"/>
    <mergeCell ref="B107:B109"/>
    <mergeCell ref="A110:A112"/>
    <mergeCell ref="B110:B112"/>
  </mergeCells>
  <phoneticPr fontId="0" type="noConversion"/>
  <pageMargins left="0.78740157480314965" right="0.78740157480314965" top="1.1811023622047245" bottom="0.39370078740157483" header="0.31496062992125984" footer="0.31496062992125984"/>
  <pageSetup paperSize="9" scale="80" orientation="landscape" r:id="rId1"/>
  <headerFooter differentFirst="1">
    <oddHeader>&amp;C&amp;P</oddHeader>
  </headerFooter>
  <rowBreaks count="3" manualBreakCount="3">
    <brk id="52" max="5" man="1"/>
    <brk id="90" max="5" man="1"/>
    <brk id="1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4"/>
  <sheetViews>
    <sheetView tabSelected="1" view="pageBreakPreview" topLeftCell="A165" zoomScale="130" zoomScaleNormal="100" zoomScaleSheetLayoutView="130" workbookViewId="0">
      <selection activeCell="B167" sqref="B167"/>
    </sheetView>
  </sheetViews>
  <sheetFormatPr defaultColWidth="15.5703125" defaultRowHeight="12" x14ac:dyDescent="0.25"/>
  <cols>
    <col min="1" max="1" width="13.42578125" style="98" customWidth="1"/>
    <col min="2" max="2" width="43.5703125" style="99" customWidth="1"/>
    <col min="3" max="3" width="15.42578125" style="35" customWidth="1"/>
    <col min="4" max="4" width="10.85546875" style="34" customWidth="1"/>
    <col min="5" max="5" width="9.42578125" style="34" customWidth="1"/>
    <col min="6" max="6" width="10.7109375" style="34" customWidth="1"/>
    <col min="7" max="7" width="24.85546875" style="34" customWidth="1"/>
    <col min="8" max="8" width="6.28515625" style="87" customWidth="1"/>
    <col min="9" max="9" width="9.7109375" style="35" customWidth="1"/>
    <col min="10" max="10" width="35.140625" style="33" customWidth="1"/>
    <col min="11" max="16384" width="15.5703125" style="35"/>
  </cols>
  <sheetData>
    <row r="1" spans="1:10" s="124" customFormat="1" ht="42.75" customHeight="1" x14ac:dyDescent="0.25">
      <c r="A1" s="215" t="s">
        <v>422</v>
      </c>
      <c r="B1" s="215"/>
      <c r="C1" s="215"/>
      <c r="D1" s="215"/>
      <c r="E1" s="215"/>
      <c r="F1" s="215"/>
      <c r="G1" s="215"/>
      <c r="H1" s="123"/>
      <c r="J1" s="125"/>
    </row>
    <row r="2" spans="1:10" ht="8.25" hidden="1" customHeight="1" x14ac:dyDescent="0.25">
      <c r="A2" s="83"/>
      <c r="B2" s="88"/>
      <c r="C2" s="89"/>
      <c r="D2" s="90"/>
      <c r="E2" s="90"/>
      <c r="F2" s="90"/>
      <c r="G2" s="90"/>
    </row>
    <row r="3" spans="1:10" ht="63.75" customHeight="1" x14ac:dyDescent="0.25">
      <c r="A3" s="31" t="s">
        <v>17</v>
      </c>
      <c r="B3" s="31" t="s">
        <v>29</v>
      </c>
      <c r="C3" s="31" t="s">
        <v>18</v>
      </c>
      <c r="D3" s="32" t="s">
        <v>20</v>
      </c>
      <c r="E3" s="32" t="s">
        <v>19</v>
      </c>
      <c r="F3" s="68" t="s">
        <v>23</v>
      </c>
      <c r="G3" s="32" t="s">
        <v>327</v>
      </c>
    </row>
    <row r="4" spans="1:10" x14ac:dyDescent="0.25">
      <c r="A4" s="31">
        <v>1</v>
      </c>
      <c r="B4" s="31">
        <v>2</v>
      </c>
      <c r="C4" s="31">
        <v>3</v>
      </c>
      <c r="D4" s="91">
        <v>4</v>
      </c>
      <c r="E4" s="91">
        <v>5</v>
      </c>
      <c r="F4" s="92">
        <v>6</v>
      </c>
      <c r="G4" s="91"/>
    </row>
    <row r="5" spans="1:10" s="101" customFormat="1" ht="12" customHeight="1" x14ac:dyDescent="0.25">
      <c r="A5" s="168" t="s">
        <v>319</v>
      </c>
      <c r="B5" s="169"/>
      <c r="C5" s="169"/>
      <c r="D5" s="169"/>
      <c r="E5" s="169"/>
      <c r="F5" s="169"/>
      <c r="G5" s="170"/>
      <c r="H5" s="100"/>
      <c r="J5" s="102"/>
    </row>
    <row r="6" spans="1:10" ht="24.75" customHeight="1" x14ac:dyDescent="0.25">
      <c r="A6" s="171" t="s">
        <v>30</v>
      </c>
      <c r="B6" s="82" t="s">
        <v>67</v>
      </c>
      <c r="C6" s="31" t="s">
        <v>22</v>
      </c>
      <c r="D6" s="32">
        <v>5653.5</v>
      </c>
      <c r="E6" s="32">
        <v>5653.5</v>
      </c>
      <c r="F6" s="68">
        <f t="shared" ref="F6:F12" si="0">E6/D6*100</f>
        <v>100</v>
      </c>
      <c r="G6" s="32"/>
      <c r="H6" s="33"/>
      <c r="I6" s="34"/>
    </row>
    <row r="7" spans="1:10" ht="51.75" customHeight="1" x14ac:dyDescent="0.25">
      <c r="A7" s="172"/>
      <c r="B7" s="82" t="s">
        <v>68</v>
      </c>
      <c r="C7" s="31" t="s">
        <v>22</v>
      </c>
      <c r="D7" s="32">
        <v>18</v>
      </c>
      <c r="E7" s="32">
        <v>18</v>
      </c>
      <c r="F7" s="68">
        <f t="shared" si="0"/>
        <v>100</v>
      </c>
      <c r="G7" s="32"/>
      <c r="H7" s="33"/>
      <c r="I7" s="34"/>
    </row>
    <row r="8" spans="1:10" ht="39.75" customHeight="1" x14ac:dyDescent="0.25">
      <c r="A8" s="172"/>
      <c r="B8" s="82" t="s">
        <v>69</v>
      </c>
      <c r="C8" s="31" t="s">
        <v>22</v>
      </c>
      <c r="D8" s="32">
        <v>583.70000000000005</v>
      </c>
      <c r="E8" s="32">
        <v>583.70000000000005</v>
      </c>
      <c r="F8" s="68">
        <f t="shared" si="0"/>
        <v>100</v>
      </c>
      <c r="G8" s="32"/>
      <c r="H8" s="33"/>
      <c r="I8" s="34"/>
    </row>
    <row r="9" spans="1:10" ht="49.5" customHeight="1" x14ac:dyDescent="0.25">
      <c r="A9" s="172"/>
      <c r="B9" s="82" t="s">
        <v>73</v>
      </c>
      <c r="C9" s="31" t="s">
        <v>22</v>
      </c>
      <c r="D9" s="32">
        <v>145.4</v>
      </c>
      <c r="E9" s="32">
        <v>145.4</v>
      </c>
      <c r="F9" s="68">
        <f t="shared" si="0"/>
        <v>100</v>
      </c>
      <c r="G9" s="32"/>
      <c r="H9" s="33"/>
      <c r="I9" s="34"/>
    </row>
    <row r="10" spans="1:10" ht="36.75" customHeight="1" x14ac:dyDescent="0.25">
      <c r="A10" s="172"/>
      <c r="B10" s="82" t="s">
        <v>81</v>
      </c>
      <c r="C10" s="31" t="s">
        <v>22</v>
      </c>
      <c r="D10" s="32">
        <v>1022.5</v>
      </c>
      <c r="E10" s="32">
        <v>1022.5</v>
      </c>
      <c r="F10" s="68">
        <f t="shared" si="0"/>
        <v>100</v>
      </c>
      <c r="G10" s="32"/>
      <c r="H10" s="33"/>
      <c r="I10" s="34"/>
    </row>
    <row r="11" spans="1:10" ht="40.5" customHeight="1" x14ac:dyDescent="0.25">
      <c r="A11" s="172"/>
      <c r="B11" s="82" t="s">
        <v>82</v>
      </c>
      <c r="C11" s="31" t="s">
        <v>22</v>
      </c>
      <c r="D11" s="32">
        <v>117.7</v>
      </c>
      <c r="E11" s="32">
        <v>117.7</v>
      </c>
      <c r="F11" s="68">
        <f t="shared" si="0"/>
        <v>100</v>
      </c>
      <c r="G11" s="32"/>
      <c r="H11" s="33"/>
      <c r="I11" s="34"/>
    </row>
    <row r="12" spans="1:10" ht="50.25" customHeight="1" x14ac:dyDescent="0.25">
      <c r="A12" s="173"/>
      <c r="B12" s="82" t="s">
        <v>85</v>
      </c>
      <c r="C12" s="31" t="s">
        <v>22</v>
      </c>
      <c r="D12" s="32">
        <v>160.19999999999999</v>
      </c>
      <c r="E12" s="32">
        <v>160.19999999999999</v>
      </c>
      <c r="F12" s="68">
        <f t="shared" si="0"/>
        <v>100</v>
      </c>
      <c r="G12" s="32"/>
      <c r="H12" s="33"/>
      <c r="I12" s="34"/>
    </row>
    <row r="13" spans="1:10" ht="109.5" customHeight="1" x14ac:dyDescent="0.25">
      <c r="A13" s="171" t="s">
        <v>31</v>
      </c>
      <c r="B13" s="82" t="s">
        <v>280</v>
      </c>
      <c r="C13" s="31" t="s">
        <v>22</v>
      </c>
      <c r="D13" s="32">
        <v>10505.1</v>
      </c>
      <c r="E13" s="32">
        <v>10139.799999999999</v>
      </c>
      <c r="F13" s="68">
        <f t="shared" ref="F13:F236" si="1">E13/D13*100</f>
        <v>96.522641383708844</v>
      </c>
      <c r="G13" s="32" t="s">
        <v>358</v>
      </c>
      <c r="H13" s="33"/>
      <c r="I13" s="34"/>
    </row>
    <row r="14" spans="1:10" ht="39" customHeight="1" x14ac:dyDescent="0.25">
      <c r="A14" s="172"/>
      <c r="B14" s="82" t="s">
        <v>120</v>
      </c>
      <c r="C14" s="31" t="s">
        <v>22</v>
      </c>
      <c r="D14" s="32">
        <v>129.30000000000001</v>
      </c>
      <c r="E14" s="32">
        <v>129.30000000000001</v>
      </c>
      <c r="F14" s="68">
        <f t="shared" si="1"/>
        <v>100</v>
      </c>
      <c r="G14" s="32"/>
      <c r="H14" s="33"/>
      <c r="I14" s="34"/>
    </row>
    <row r="15" spans="1:10" ht="50.25" customHeight="1" x14ac:dyDescent="0.25">
      <c r="A15" s="173"/>
      <c r="B15" s="82" t="s">
        <v>123</v>
      </c>
      <c r="C15" s="31" t="s">
        <v>22</v>
      </c>
      <c r="D15" s="32">
        <v>327.10000000000002</v>
      </c>
      <c r="E15" s="32">
        <v>327.10000000000002</v>
      </c>
      <c r="F15" s="68">
        <f t="shared" si="1"/>
        <v>100</v>
      </c>
      <c r="G15" s="32"/>
      <c r="H15" s="33"/>
      <c r="I15" s="34"/>
    </row>
    <row r="16" spans="1:10" ht="86.25" customHeight="1" x14ac:dyDescent="0.25">
      <c r="A16" s="171" t="s">
        <v>32</v>
      </c>
      <c r="B16" s="82" t="s">
        <v>127</v>
      </c>
      <c r="C16" s="31" t="s">
        <v>22</v>
      </c>
      <c r="D16" s="32">
        <v>515.70000000000005</v>
      </c>
      <c r="E16" s="32">
        <v>238.2</v>
      </c>
      <c r="F16" s="68">
        <f t="shared" si="1"/>
        <v>46.189645142524718</v>
      </c>
      <c r="G16" s="32" t="s">
        <v>346</v>
      </c>
      <c r="H16" s="33"/>
      <c r="I16" s="34"/>
    </row>
    <row r="17" spans="1:9" ht="50.25" customHeight="1" x14ac:dyDescent="0.25">
      <c r="A17" s="172"/>
      <c r="B17" s="82" t="s">
        <v>131</v>
      </c>
      <c r="C17" s="31" t="s">
        <v>22</v>
      </c>
      <c r="D17" s="32">
        <v>202</v>
      </c>
      <c r="E17" s="32">
        <v>202</v>
      </c>
      <c r="F17" s="68">
        <f t="shared" si="1"/>
        <v>100</v>
      </c>
      <c r="G17" s="32"/>
      <c r="H17" s="33"/>
      <c r="I17" s="34"/>
    </row>
    <row r="18" spans="1:9" ht="103.5" customHeight="1" x14ac:dyDescent="0.25">
      <c r="A18" s="173"/>
      <c r="B18" s="82" t="s">
        <v>132</v>
      </c>
      <c r="C18" s="31" t="s">
        <v>22</v>
      </c>
      <c r="D18" s="32">
        <v>7966.5</v>
      </c>
      <c r="E18" s="32">
        <v>7799.9</v>
      </c>
      <c r="F18" s="68">
        <f t="shared" si="1"/>
        <v>97.908742860729305</v>
      </c>
      <c r="G18" s="32" t="s">
        <v>347</v>
      </c>
      <c r="H18" s="33"/>
      <c r="I18" s="34"/>
    </row>
    <row r="19" spans="1:9" ht="108.75" customHeight="1" x14ac:dyDescent="0.25">
      <c r="A19" s="171" t="s">
        <v>36</v>
      </c>
      <c r="B19" s="82" t="s">
        <v>136</v>
      </c>
      <c r="C19" s="31" t="s">
        <v>22</v>
      </c>
      <c r="D19" s="32">
        <v>9731.7000000000007</v>
      </c>
      <c r="E19" s="32">
        <v>9669.5</v>
      </c>
      <c r="F19" s="68">
        <f t="shared" si="1"/>
        <v>99.360851649763134</v>
      </c>
      <c r="G19" s="32" t="s">
        <v>368</v>
      </c>
      <c r="H19" s="33"/>
      <c r="I19" s="34"/>
    </row>
    <row r="20" spans="1:9" ht="54" customHeight="1" x14ac:dyDescent="0.25">
      <c r="A20" s="172"/>
      <c r="B20" s="82" t="s">
        <v>138</v>
      </c>
      <c r="C20" s="31" t="s">
        <v>22</v>
      </c>
      <c r="D20" s="32">
        <v>461.5</v>
      </c>
      <c r="E20" s="32">
        <v>461.5</v>
      </c>
      <c r="F20" s="68">
        <f t="shared" si="1"/>
        <v>100</v>
      </c>
      <c r="G20" s="32"/>
      <c r="H20" s="33"/>
      <c r="I20" s="34"/>
    </row>
    <row r="21" spans="1:9" ht="48.75" customHeight="1" x14ac:dyDescent="0.25">
      <c r="A21" s="172"/>
      <c r="B21" s="82" t="s">
        <v>139</v>
      </c>
      <c r="C21" s="31" t="s">
        <v>22</v>
      </c>
      <c r="D21" s="32">
        <v>572.4</v>
      </c>
      <c r="E21" s="32">
        <v>572.4</v>
      </c>
      <c r="F21" s="68">
        <f t="shared" si="1"/>
        <v>100</v>
      </c>
      <c r="G21" s="32"/>
      <c r="H21" s="33"/>
      <c r="I21" s="34"/>
    </row>
    <row r="22" spans="1:9" ht="42.75" customHeight="1" x14ac:dyDescent="0.25">
      <c r="A22" s="172"/>
      <c r="B22" s="82" t="s">
        <v>140</v>
      </c>
      <c r="C22" s="31" t="s">
        <v>22</v>
      </c>
      <c r="D22" s="32">
        <v>2219</v>
      </c>
      <c r="E22" s="32">
        <v>2219</v>
      </c>
      <c r="F22" s="68">
        <f t="shared" si="1"/>
        <v>100</v>
      </c>
      <c r="G22" s="32"/>
      <c r="H22" s="33"/>
      <c r="I22" s="34"/>
    </row>
    <row r="23" spans="1:9" ht="61.5" customHeight="1" x14ac:dyDescent="0.25">
      <c r="A23" s="172"/>
      <c r="B23" s="82" t="s">
        <v>150</v>
      </c>
      <c r="C23" s="31" t="s">
        <v>22</v>
      </c>
      <c r="D23" s="32">
        <v>108</v>
      </c>
      <c r="E23" s="32">
        <v>108</v>
      </c>
      <c r="F23" s="68">
        <f t="shared" si="1"/>
        <v>100</v>
      </c>
      <c r="G23" s="32"/>
      <c r="H23" s="33"/>
      <c r="I23" s="34"/>
    </row>
    <row r="24" spans="1:9" ht="48" customHeight="1" x14ac:dyDescent="0.25">
      <c r="A24" s="173"/>
      <c r="B24" s="82" t="s">
        <v>155</v>
      </c>
      <c r="C24" s="31" t="s">
        <v>22</v>
      </c>
      <c r="D24" s="32">
        <v>326.3</v>
      </c>
      <c r="E24" s="32">
        <v>326.3</v>
      </c>
      <c r="F24" s="68">
        <f t="shared" si="1"/>
        <v>100</v>
      </c>
      <c r="G24" s="32"/>
      <c r="H24" s="33"/>
      <c r="I24" s="34"/>
    </row>
    <row r="25" spans="1:9" ht="101.25" customHeight="1" x14ac:dyDescent="0.25">
      <c r="A25" s="171" t="s">
        <v>33</v>
      </c>
      <c r="B25" s="82" t="s">
        <v>156</v>
      </c>
      <c r="C25" s="31" t="s">
        <v>22</v>
      </c>
      <c r="D25" s="32">
        <v>4001.4</v>
      </c>
      <c r="E25" s="32">
        <v>3918.9</v>
      </c>
      <c r="F25" s="68">
        <f t="shared" si="1"/>
        <v>97.938221622432152</v>
      </c>
      <c r="G25" s="32" t="s">
        <v>347</v>
      </c>
      <c r="H25" s="33"/>
      <c r="I25" s="34"/>
    </row>
    <row r="26" spans="1:9" ht="36" customHeight="1" x14ac:dyDescent="0.25">
      <c r="A26" s="172"/>
      <c r="B26" s="82" t="s">
        <v>157</v>
      </c>
      <c r="C26" s="31" t="s">
        <v>22</v>
      </c>
      <c r="D26" s="32">
        <v>4471.6000000000004</v>
      </c>
      <c r="E26" s="32">
        <v>4471.6000000000004</v>
      </c>
      <c r="F26" s="68">
        <f t="shared" si="1"/>
        <v>100</v>
      </c>
      <c r="G26" s="32"/>
      <c r="H26" s="33"/>
      <c r="I26" s="34"/>
    </row>
    <row r="27" spans="1:9" ht="49.5" customHeight="1" x14ac:dyDescent="0.25">
      <c r="A27" s="172"/>
      <c r="B27" s="82" t="s">
        <v>158</v>
      </c>
      <c r="C27" s="31" t="s">
        <v>22</v>
      </c>
      <c r="D27" s="32">
        <v>648.20000000000005</v>
      </c>
      <c r="E27" s="32">
        <v>643.9</v>
      </c>
      <c r="F27" s="68">
        <f t="shared" si="1"/>
        <v>99.336624498611528</v>
      </c>
      <c r="G27" s="32" t="s">
        <v>366</v>
      </c>
      <c r="H27" s="33"/>
      <c r="I27" s="34"/>
    </row>
    <row r="28" spans="1:9" ht="51" customHeight="1" x14ac:dyDescent="0.25">
      <c r="A28" s="172"/>
      <c r="B28" s="82" t="s">
        <v>159</v>
      </c>
      <c r="C28" s="31" t="s">
        <v>22</v>
      </c>
      <c r="D28" s="32">
        <v>7.2</v>
      </c>
      <c r="E28" s="32">
        <v>7.2</v>
      </c>
      <c r="F28" s="68">
        <f t="shared" si="1"/>
        <v>100</v>
      </c>
      <c r="G28" s="32"/>
      <c r="H28" s="33"/>
      <c r="I28" s="34"/>
    </row>
    <row r="29" spans="1:9" ht="36" x14ac:dyDescent="0.25">
      <c r="A29" s="172"/>
      <c r="B29" s="82" t="s">
        <v>169</v>
      </c>
      <c r="C29" s="31" t="s">
        <v>22</v>
      </c>
      <c r="D29" s="32">
        <v>214.2</v>
      </c>
      <c r="E29" s="32">
        <v>214.2</v>
      </c>
      <c r="F29" s="68">
        <f t="shared" si="1"/>
        <v>100</v>
      </c>
      <c r="G29" s="32"/>
      <c r="H29" s="33"/>
      <c r="I29" s="34"/>
    </row>
    <row r="30" spans="1:9" ht="63" customHeight="1" x14ac:dyDescent="0.25">
      <c r="A30" s="173"/>
      <c r="B30" s="82" t="s">
        <v>170</v>
      </c>
      <c r="C30" s="31" t="s">
        <v>22</v>
      </c>
      <c r="D30" s="32">
        <v>142.1</v>
      </c>
      <c r="E30" s="32">
        <v>142.1</v>
      </c>
      <c r="F30" s="68">
        <f t="shared" si="1"/>
        <v>100</v>
      </c>
      <c r="G30" s="32"/>
      <c r="H30" s="33"/>
      <c r="I30" s="34"/>
    </row>
    <row r="31" spans="1:9" ht="38.25" customHeight="1" x14ac:dyDescent="0.25">
      <c r="A31" s="171" t="s">
        <v>34</v>
      </c>
      <c r="B31" s="82" t="s">
        <v>43</v>
      </c>
      <c r="C31" s="31" t="s">
        <v>22</v>
      </c>
      <c r="D31" s="32">
        <v>74.7</v>
      </c>
      <c r="E31" s="32">
        <v>69.099999999999994</v>
      </c>
      <c r="F31" s="68">
        <f t="shared" si="1"/>
        <v>92.503346720214168</v>
      </c>
      <c r="G31" s="32" t="s">
        <v>366</v>
      </c>
      <c r="H31" s="33"/>
      <c r="I31" s="34"/>
    </row>
    <row r="32" spans="1:9" ht="51" customHeight="1" x14ac:dyDescent="0.25">
      <c r="A32" s="172"/>
      <c r="B32" s="82" t="s">
        <v>281</v>
      </c>
      <c r="C32" s="31" t="s">
        <v>22</v>
      </c>
      <c r="D32" s="32">
        <v>5489.7</v>
      </c>
      <c r="E32" s="32">
        <v>5297.1</v>
      </c>
      <c r="F32" s="68">
        <f t="shared" si="1"/>
        <v>96.491611563473427</v>
      </c>
      <c r="G32" s="32" t="s">
        <v>348</v>
      </c>
      <c r="H32" s="33"/>
      <c r="I32" s="34"/>
    </row>
    <row r="33" spans="1:9" ht="60" customHeight="1" x14ac:dyDescent="0.25">
      <c r="A33" s="172"/>
      <c r="B33" s="82" t="s">
        <v>44</v>
      </c>
      <c r="C33" s="31" t="s">
        <v>22</v>
      </c>
      <c r="D33" s="32">
        <v>452.9</v>
      </c>
      <c r="E33" s="32">
        <v>432.6</v>
      </c>
      <c r="F33" s="68">
        <f t="shared" ref="F33" si="2">E33/D33*100</f>
        <v>95.517774343122113</v>
      </c>
      <c r="G33" s="32" t="s">
        <v>349</v>
      </c>
      <c r="H33" s="33"/>
      <c r="I33" s="34"/>
    </row>
    <row r="34" spans="1:9" ht="60.75" customHeight="1" x14ac:dyDescent="0.25">
      <c r="A34" s="172"/>
      <c r="B34" s="82" t="s">
        <v>47</v>
      </c>
      <c r="C34" s="31" t="s">
        <v>22</v>
      </c>
      <c r="D34" s="32">
        <v>207.7</v>
      </c>
      <c r="E34" s="32">
        <v>199.8</v>
      </c>
      <c r="F34" s="68">
        <f t="shared" si="1"/>
        <v>96.196437168993754</v>
      </c>
      <c r="G34" s="32" t="s">
        <v>360</v>
      </c>
      <c r="H34" s="33"/>
      <c r="I34" s="34"/>
    </row>
    <row r="35" spans="1:9" ht="75" customHeight="1" x14ac:dyDescent="0.25">
      <c r="A35" s="172"/>
      <c r="B35" s="82" t="s">
        <v>51</v>
      </c>
      <c r="C35" s="31" t="s">
        <v>22</v>
      </c>
      <c r="D35" s="32">
        <v>104.7</v>
      </c>
      <c r="E35" s="32">
        <v>92.7</v>
      </c>
      <c r="F35" s="68">
        <f t="shared" si="1"/>
        <v>88.53868194842407</v>
      </c>
      <c r="G35" s="32" t="s">
        <v>359</v>
      </c>
      <c r="H35" s="33"/>
      <c r="I35" s="34"/>
    </row>
    <row r="36" spans="1:9" ht="63.75" customHeight="1" x14ac:dyDescent="0.25">
      <c r="A36" s="173"/>
      <c r="B36" s="82" t="s">
        <v>63</v>
      </c>
      <c r="C36" s="31" t="s">
        <v>22</v>
      </c>
      <c r="D36" s="32">
        <v>60</v>
      </c>
      <c r="E36" s="32">
        <v>60</v>
      </c>
      <c r="F36" s="68">
        <f t="shared" si="1"/>
        <v>100</v>
      </c>
      <c r="G36" s="32"/>
      <c r="H36" s="33"/>
      <c r="I36" s="34"/>
    </row>
    <row r="37" spans="1:9" ht="52.5" customHeight="1" x14ac:dyDescent="0.25">
      <c r="A37" s="171" t="s">
        <v>35</v>
      </c>
      <c r="B37" s="82" t="s">
        <v>278</v>
      </c>
      <c r="C37" s="31" t="s">
        <v>22</v>
      </c>
      <c r="D37" s="32">
        <v>9847.4</v>
      </c>
      <c r="E37" s="32">
        <v>9564.7999999999993</v>
      </c>
      <c r="F37" s="68">
        <f t="shared" si="1"/>
        <v>97.130206958181859</v>
      </c>
      <c r="G37" s="32" t="s">
        <v>350</v>
      </c>
      <c r="H37" s="33"/>
      <c r="I37" s="34"/>
    </row>
    <row r="38" spans="1:9" ht="51.75" customHeight="1" x14ac:dyDescent="0.25">
      <c r="A38" s="172"/>
      <c r="B38" s="82" t="s">
        <v>174</v>
      </c>
      <c r="C38" s="31" t="s">
        <v>22</v>
      </c>
      <c r="D38" s="32">
        <v>667.2</v>
      </c>
      <c r="E38" s="32">
        <v>662.1</v>
      </c>
      <c r="F38" s="68">
        <f t="shared" si="1"/>
        <v>99.235611510791372</v>
      </c>
      <c r="G38" s="32" t="s">
        <v>331</v>
      </c>
      <c r="H38" s="33"/>
      <c r="I38" s="34"/>
    </row>
    <row r="39" spans="1:9" ht="51.75" customHeight="1" x14ac:dyDescent="0.25">
      <c r="A39" s="172"/>
      <c r="B39" s="82" t="s">
        <v>175</v>
      </c>
      <c r="C39" s="31" t="s">
        <v>22</v>
      </c>
      <c r="D39" s="32">
        <v>104.7</v>
      </c>
      <c r="E39" s="32">
        <v>104.7</v>
      </c>
      <c r="F39" s="68">
        <f t="shared" si="1"/>
        <v>100</v>
      </c>
      <c r="G39" s="32"/>
      <c r="H39" s="33"/>
      <c r="I39" s="34"/>
    </row>
    <row r="40" spans="1:9" ht="113.25" customHeight="1" x14ac:dyDescent="0.25">
      <c r="A40" s="172"/>
      <c r="B40" s="82" t="s">
        <v>176</v>
      </c>
      <c r="C40" s="31" t="s">
        <v>22</v>
      </c>
      <c r="D40" s="32">
        <v>919.4</v>
      </c>
      <c r="E40" s="32">
        <v>54.3</v>
      </c>
      <c r="F40" s="68">
        <f t="shared" si="1"/>
        <v>5.9060256689145092</v>
      </c>
      <c r="G40" s="32" t="s">
        <v>382</v>
      </c>
      <c r="H40" s="33"/>
      <c r="I40" s="34"/>
    </row>
    <row r="41" spans="1:9" ht="61.5" customHeight="1" x14ac:dyDescent="0.25">
      <c r="A41" s="173"/>
      <c r="B41" s="82" t="s">
        <v>185</v>
      </c>
      <c r="C41" s="31" t="s">
        <v>22</v>
      </c>
      <c r="D41" s="32">
        <v>60</v>
      </c>
      <c r="E41" s="32">
        <v>60</v>
      </c>
      <c r="F41" s="68">
        <f t="shared" si="1"/>
        <v>100</v>
      </c>
      <c r="G41" s="32"/>
      <c r="H41" s="33"/>
      <c r="I41" s="34"/>
    </row>
    <row r="42" spans="1:9" ht="36" x14ac:dyDescent="0.25">
      <c r="A42" s="171" t="s">
        <v>37</v>
      </c>
      <c r="B42" s="82" t="s">
        <v>189</v>
      </c>
      <c r="C42" s="31" t="s">
        <v>22</v>
      </c>
      <c r="D42" s="32">
        <v>10929.7</v>
      </c>
      <c r="E42" s="32">
        <v>10929.7</v>
      </c>
      <c r="F42" s="68">
        <f t="shared" si="1"/>
        <v>100</v>
      </c>
      <c r="G42" s="32"/>
      <c r="H42" s="33"/>
      <c r="I42" s="34"/>
    </row>
    <row r="43" spans="1:9" ht="24" x14ac:dyDescent="0.25">
      <c r="A43" s="172"/>
      <c r="B43" s="82" t="s">
        <v>190</v>
      </c>
      <c r="C43" s="31" t="s">
        <v>22</v>
      </c>
      <c r="D43" s="32">
        <v>69.7</v>
      </c>
      <c r="E43" s="32">
        <v>69.7</v>
      </c>
      <c r="F43" s="68">
        <f t="shared" si="1"/>
        <v>100</v>
      </c>
      <c r="G43" s="32"/>
      <c r="H43" s="33"/>
      <c r="I43" s="34"/>
    </row>
    <row r="44" spans="1:9" ht="48" x14ac:dyDescent="0.25">
      <c r="A44" s="172"/>
      <c r="B44" s="82" t="s">
        <v>191</v>
      </c>
      <c r="C44" s="31" t="s">
        <v>22</v>
      </c>
      <c r="D44" s="32">
        <v>88.9</v>
      </c>
      <c r="E44" s="32">
        <v>88.9</v>
      </c>
      <c r="F44" s="68">
        <f t="shared" si="1"/>
        <v>100</v>
      </c>
      <c r="G44" s="32"/>
      <c r="H44" s="33"/>
      <c r="I44" s="34"/>
    </row>
    <row r="45" spans="1:9" ht="48" x14ac:dyDescent="0.25">
      <c r="A45" s="172"/>
      <c r="B45" s="82" t="s">
        <v>192</v>
      </c>
      <c r="C45" s="31" t="s">
        <v>22</v>
      </c>
      <c r="D45" s="32">
        <v>684.4</v>
      </c>
      <c r="E45" s="32">
        <v>684.4</v>
      </c>
      <c r="F45" s="68">
        <f t="shared" si="1"/>
        <v>100</v>
      </c>
      <c r="G45" s="32"/>
      <c r="H45" s="33"/>
      <c r="I45" s="34"/>
    </row>
    <row r="46" spans="1:9" ht="36" x14ac:dyDescent="0.25">
      <c r="A46" s="172"/>
      <c r="B46" s="82" t="s">
        <v>199</v>
      </c>
      <c r="C46" s="31" t="s">
        <v>22</v>
      </c>
      <c r="D46" s="32">
        <v>222.2</v>
      </c>
      <c r="E46" s="32">
        <v>222.2</v>
      </c>
      <c r="F46" s="68">
        <f t="shared" si="1"/>
        <v>100</v>
      </c>
      <c r="G46" s="32"/>
      <c r="H46" s="33"/>
      <c r="I46" s="34"/>
    </row>
    <row r="47" spans="1:9" ht="60" x14ac:dyDescent="0.25">
      <c r="A47" s="173"/>
      <c r="B47" s="82" t="s">
        <v>201</v>
      </c>
      <c r="C47" s="31" t="s">
        <v>22</v>
      </c>
      <c r="D47" s="32">
        <v>108</v>
      </c>
      <c r="E47" s="32">
        <v>108</v>
      </c>
      <c r="F47" s="68">
        <f t="shared" si="1"/>
        <v>100</v>
      </c>
      <c r="G47" s="32"/>
      <c r="H47" s="33"/>
      <c r="I47" s="34"/>
    </row>
    <row r="48" spans="1:9" ht="49.5" customHeight="1" x14ac:dyDescent="0.25">
      <c r="A48" s="171" t="s">
        <v>38</v>
      </c>
      <c r="B48" s="82" t="s">
        <v>205</v>
      </c>
      <c r="C48" s="31" t="s">
        <v>22</v>
      </c>
      <c r="D48" s="32">
        <v>6235.7</v>
      </c>
      <c r="E48" s="32">
        <v>6235.7</v>
      </c>
      <c r="F48" s="68">
        <f t="shared" si="1"/>
        <v>100</v>
      </c>
      <c r="G48" s="32"/>
      <c r="H48" s="33"/>
      <c r="I48" s="34"/>
    </row>
    <row r="49" spans="1:9" ht="51" customHeight="1" x14ac:dyDescent="0.25">
      <c r="A49" s="172"/>
      <c r="B49" s="82" t="s">
        <v>206</v>
      </c>
      <c r="C49" s="31" t="s">
        <v>22</v>
      </c>
      <c r="D49" s="32">
        <v>7552.5</v>
      </c>
      <c r="E49" s="32">
        <v>7552.5</v>
      </c>
      <c r="F49" s="68">
        <f t="shared" si="1"/>
        <v>100</v>
      </c>
      <c r="G49" s="32"/>
      <c r="H49" s="33"/>
      <c r="I49" s="34"/>
    </row>
    <row r="50" spans="1:9" ht="40.5" customHeight="1" x14ac:dyDescent="0.25">
      <c r="A50" s="172"/>
      <c r="B50" s="82" t="s">
        <v>207</v>
      </c>
      <c r="C50" s="31" t="s">
        <v>22</v>
      </c>
      <c r="D50" s="32">
        <v>1049.7</v>
      </c>
      <c r="E50" s="32">
        <v>1049.7</v>
      </c>
      <c r="F50" s="68">
        <f t="shared" si="1"/>
        <v>100</v>
      </c>
      <c r="G50" s="32"/>
      <c r="H50" s="33"/>
      <c r="I50" s="34"/>
    </row>
    <row r="51" spans="1:9" ht="39" customHeight="1" x14ac:dyDescent="0.25">
      <c r="A51" s="172"/>
      <c r="B51" s="82" t="s">
        <v>208</v>
      </c>
      <c r="C51" s="31" t="s">
        <v>22</v>
      </c>
      <c r="D51" s="32">
        <v>1615.7</v>
      </c>
      <c r="E51" s="32">
        <v>1615.7</v>
      </c>
      <c r="F51" s="68">
        <f t="shared" si="1"/>
        <v>100</v>
      </c>
      <c r="G51" s="32"/>
      <c r="H51" s="33"/>
      <c r="I51" s="34"/>
    </row>
    <row r="52" spans="1:9" ht="49.5" customHeight="1" x14ac:dyDescent="0.25">
      <c r="A52" s="172"/>
      <c r="B52" s="82" t="s">
        <v>210</v>
      </c>
      <c r="C52" s="31" t="s">
        <v>22</v>
      </c>
      <c r="D52" s="32">
        <v>50</v>
      </c>
      <c r="E52" s="32">
        <v>50</v>
      </c>
      <c r="F52" s="68">
        <f t="shared" si="1"/>
        <v>100</v>
      </c>
      <c r="G52" s="32"/>
      <c r="H52" s="33"/>
      <c r="I52" s="34"/>
    </row>
    <row r="53" spans="1:9" ht="65.25" customHeight="1" x14ac:dyDescent="0.25">
      <c r="A53" s="173"/>
      <c r="B53" s="82" t="s">
        <v>219</v>
      </c>
      <c r="C53" s="31" t="s">
        <v>22</v>
      </c>
      <c r="D53" s="32">
        <v>76.7</v>
      </c>
      <c r="E53" s="32">
        <v>76.7</v>
      </c>
      <c r="F53" s="68">
        <f t="shared" si="1"/>
        <v>100</v>
      </c>
      <c r="G53" s="32"/>
      <c r="H53" s="33"/>
      <c r="I53" s="34"/>
    </row>
    <row r="54" spans="1:9" ht="48" customHeight="1" x14ac:dyDescent="0.25">
      <c r="A54" s="171" t="s">
        <v>39</v>
      </c>
      <c r="B54" s="82" t="s">
        <v>229</v>
      </c>
      <c r="C54" s="31" t="s">
        <v>22</v>
      </c>
      <c r="D54" s="32">
        <v>44311.5</v>
      </c>
      <c r="E54" s="32">
        <v>43174.7</v>
      </c>
      <c r="F54" s="68">
        <f t="shared" si="1"/>
        <v>97.434526025975188</v>
      </c>
      <c r="G54" s="32" t="s">
        <v>407</v>
      </c>
      <c r="H54" s="33"/>
      <c r="I54" s="34"/>
    </row>
    <row r="55" spans="1:9" ht="40.5" customHeight="1" x14ac:dyDescent="0.25">
      <c r="A55" s="172"/>
      <c r="B55" s="82" t="s">
        <v>231</v>
      </c>
      <c r="C55" s="31" t="s">
        <v>22</v>
      </c>
      <c r="D55" s="32">
        <v>630</v>
      </c>
      <c r="E55" s="32">
        <v>466</v>
      </c>
      <c r="F55" s="68">
        <f t="shared" si="1"/>
        <v>73.968253968253975</v>
      </c>
      <c r="G55" s="32" t="s">
        <v>407</v>
      </c>
      <c r="H55" s="33"/>
      <c r="I55" s="34"/>
    </row>
    <row r="56" spans="1:9" ht="43.5" customHeight="1" x14ac:dyDescent="0.25">
      <c r="A56" s="172"/>
      <c r="B56" s="82" t="s">
        <v>232</v>
      </c>
      <c r="C56" s="31" t="s">
        <v>22</v>
      </c>
      <c r="D56" s="32">
        <v>83</v>
      </c>
      <c r="E56" s="32">
        <v>79.2</v>
      </c>
      <c r="F56" s="68">
        <f t="shared" si="1"/>
        <v>95.421686746987959</v>
      </c>
      <c r="G56" s="32" t="s">
        <v>407</v>
      </c>
      <c r="H56" s="33"/>
      <c r="I56" s="34"/>
    </row>
    <row r="57" spans="1:9" ht="39" customHeight="1" x14ac:dyDescent="0.25">
      <c r="A57" s="172"/>
      <c r="B57" s="82" t="s">
        <v>244</v>
      </c>
      <c r="C57" s="31" t="s">
        <v>22</v>
      </c>
      <c r="D57" s="32">
        <v>1022</v>
      </c>
      <c r="E57" s="32">
        <v>1022</v>
      </c>
      <c r="F57" s="68">
        <f t="shared" si="1"/>
        <v>100</v>
      </c>
      <c r="G57" s="32"/>
      <c r="H57" s="33"/>
      <c r="I57" s="34"/>
    </row>
    <row r="58" spans="1:9" ht="63" customHeight="1" x14ac:dyDescent="0.25">
      <c r="A58" s="173"/>
      <c r="B58" s="82" t="s">
        <v>245</v>
      </c>
      <c r="C58" s="31" t="s">
        <v>22</v>
      </c>
      <c r="D58" s="32">
        <v>94.4</v>
      </c>
      <c r="E58" s="32">
        <v>94.4</v>
      </c>
      <c r="F58" s="68">
        <f t="shared" si="1"/>
        <v>100</v>
      </c>
      <c r="G58" s="32"/>
      <c r="H58" s="33"/>
      <c r="I58" s="34"/>
    </row>
    <row r="59" spans="1:9" ht="38.25" customHeight="1" x14ac:dyDescent="0.25">
      <c r="A59" s="171" t="s">
        <v>40</v>
      </c>
      <c r="B59" s="82" t="s">
        <v>251</v>
      </c>
      <c r="C59" s="31" t="s">
        <v>22</v>
      </c>
      <c r="D59" s="32">
        <v>412.9</v>
      </c>
      <c r="E59" s="32">
        <v>412.3</v>
      </c>
      <c r="F59" s="68">
        <f t="shared" si="1"/>
        <v>99.854686364737233</v>
      </c>
      <c r="G59" s="32" t="s">
        <v>407</v>
      </c>
      <c r="H59" s="33"/>
      <c r="I59" s="34"/>
    </row>
    <row r="60" spans="1:9" ht="53.25" customHeight="1" x14ac:dyDescent="0.25">
      <c r="A60" s="172"/>
      <c r="B60" s="82" t="s">
        <v>252</v>
      </c>
      <c r="C60" s="31" t="s">
        <v>22</v>
      </c>
      <c r="D60" s="32">
        <v>71090.5</v>
      </c>
      <c r="E60" s="32">
        <v>69160.3</v>
      </c>
      <c r="F60" s="68">
        <f t="shared" si="1"/>
        <v>97.28486928633221</v>
      </c>
      <c r="G60" s="32" t="s">
        <v>407</v>
      </c>
      <c r="H60" s="33"/>
      <c r="I60" s="34"/>
    </row>
    <row r="61" spans="1:9" ht="51" customHeight="1" x14ac:dyDescent="0.25">
      <c r="A61" s="172"/>
      <c r="B61" s="82" t="s">
        <v>254</v>
      </c>
      <c r="C61" s="31" t="s">
        <v>22</v>
      </c>
      <c r="D61" s="32">
        <v>1518</v>
      </c>
      <c r="E61" s="32">
        <v>1518</v>
      </c>
      <c r="F61" s="68">
        <f t="shared" si="1"/>
        <v>100</v>
      </c>
      <c r="G61" s="32"/>
      <c r="H61" s="33"/>
      <c r="I61" s="34"/>
    </row>
    <row r="62" spans="1:9" ht="52.5" customHeight="1" x14ac:dyDescent="0.25">
      <c r="A62" s="172"/>
      <c r="B62" s="82" t="s">
        <v>255</v>
      </c>
      <c r="C62" s="31" t="s">
        <v>22</v>
      </c>
      <c r="D62" s="32">
        <v>1139.5</v>
      </c>
      <c r="E62" s="32">
        <v>1063.3</v>
      </c>
      <c r="F62" s="68">
        <f t="shared" si="1"/>
        <v>93.312856516015799</v>
      </c>
      <c r="G62" s="32" t="s">
        <v>408</v>
      </c>
      <c r="H62" s="33"/>
      <c r="I62" s="34"/>
    </row>
    <row r="63" spans="1:9" ht="48" x14ac:dyDescent="0.25">
      <c r="A63" s="172"/>
      <c r="B63" s="82" t="s">
        <v>256</v>
      </c>
      <c r="C63" s="31" t="s">
        <v>22</v>
      </c>
      <c r="D63" s="32">
        <v>1154.5</v>
      </c>
      <c r="E63" s="32">
        <v>1153.3</v>
      </c>
      <c r="F63" s="68">
        <f t="shared" si="1"/>
        <v>99.896058899956685</v>
      </c>
      <c r="G63" s="32" t="s">
        <v>408</v>
      </c>
      <c r="H63" s="33"/>
      <c r="I63" s="34"/>
    </row>
    <row r="64" spans="1:9" ht="37.5" customHeight="1" x14ac:dyDescent="0.25">
      <c r="A64" s="173"/>
      <c r="B64" s="82" t="s">
        <v>258</v>
      </c>
      <c r="C64" s="31" t="s">
        <v>22</v>
      </c>
      <c r="D64" s="32">
        <v>200</v>
      </c>
      <c r="E64" s="32">
        <v>158.5</v>
      </c>
      <c r="F64" s="68">
        <f t="shared" si="1"/>
        <v>79.25</v>
      </c>
      <c r="G64" s="32" t="s">
        <v>407</v>
      </c>
      <c r="H64" s="33"/>
      <c r="I64" s="34"/>
    </row>
    <row r="65" spans="1:10" ht="99.75" customHeight="1" x14ac:dyDescent="0.25">
      <c r="A65" s="181" t="s">
        <v>41</v>
      </c>
      <c r="B65" s="82" t="s">
        <v>282</v>
      </c>
      <c r="C65" s="31" t="s">
        <v>22</v>
      </c>
      <c r="D65" s="32">
        <v>7667.1</v>
      </c>
      <c r="E65" s="32">
        <v>7453.4</v>
      </c>
      <c r="F65" s="68">
        <f t="shared" si="1"/>
        <v>97.212766234951928</v>
      </c>
      <c r="G65" s="32" t="s">
        <v>392</v>
      </c>
      <c r="H65" s="33"/>
      <c r="I65" s="34"/>
    </row>
    <row r="66" spans="1:10" ht="36" x14ac:dyDescent="0.25">
      <c r="A66" s="182"/>
      <c r="B66" s="82" t="s">
        <v>93</v>
      </c>
      <c r="C66" s="31" t="s">
        <v>22</v>
      </c>
      <c r="D66" s="32">
        <v>421.1</v>
      </c>
      <c r="E66" s="32">
        <v>421.1</v>
      </c>
      <c r="F66" s="68">
        <f t="shared" si="1"/>
        <v>100</v>
      </c>
      <c r="G66" s="32"/>
      <c r="H66" s="33"/>
      <c r="I66" s="34"/>
    </row>
    <row r="67" spans="1:10" ht="51" customHeight="1" x14ac:dyDescent="0.25">
      <c r="A67" s="182"/>
      <c r="B67" s="82" t="s">
        <v>334</v>
      </c>
      <c r="C67" s="31" t="s">
        <v>22</v>
      </c>
      <c r="D67" s="32">
        <v>99.5</v>
      </c>
      <c r="E67" s="32">
        <v>99.5</v>
      </c>
      <c r="F67" s="68">
        <f t="shared" si="1"/>
        <v>100</v>
      </c>
      <c r="G67" s="32"/>
      <c r="H67" s="33"/>
      <c r="I67" s="34"/>
    </row>
    <row r="68" spans="1:10" ht="51" customHeight="1" x14ac:dyDescent="0.25">
      <c r="A68" s="182"/>
      <c r="B68" s="82" t="s">
        <v>335</v>
      </c>
      <c r="C68" s="31" t="s">
        <v>22</v>
      </c>
      <c r="D68" s="32">
        <v>537.9</v>
      </c>
      <c r="E68" s="32">
        <v>537.9</v>
      </c>
      <c r="F68" s="68">
        <f t="shared" si="1"/>
        <v>100</v>
      </c>
      <c r="G68" s="32"/>
      <c r="H68" s="33"/>
      <c r="I68" s="34"/>
    </row>
    <row r="69" spans="1:10" ht="52.5" customHeight="1" x14ac:dyDescent="0.25">
      <c r="A69" s="182"/>
      <c r="B69" s="82" t="s">
        <v>336</v>
      </c>
      <c r="C69" s="31" t="s">
        <v>22</v>
      </c>
      <c r="D69" s="32">
        <v>29.9</v>
      </c>
      <c r="E69" s="32">
        <v>29.9</v>
      </c>
      <c r="F69" s="68">
        <f t="shared" si="1"/>
        <v>100</v>
      </c>
      <c r="G69" s="32"/>
      <c r="H69" s="33"/>
      <c r="I69" s="34"/>
    </row>
    <row r="70" spans="1:10" ht="60" customHeight="1" x14ac:dyDescent="0.25">
      <c r="A70" s="183"/>
      <c r="B70" s="82" t="s">
        <v>110</v>
      </c>
      <c r="C70" s="31" t="s">
        <v>22</v>
      </c>
      <c r="D70" s="32">
        <v>44</v>
      </c>
      <c r="E70" s="32">
        <v>44</v>
      </c>
      <c r="F70" s="68">
        <f t="shared" si="1"/>
        <v>100</v>
      </c>
      <c r="G70" s="32"/>
      <c r="H70" s="33"/>
      <c r="I70" s="34"/>
    </row>
    <row r="71" spans="1:10" s="43" customFormat="1" ht="16.5" customHeight="1" x14ac:dyDescent="0.25">
      <c r="A71" s="186" t="s">
        <v>203</v>
      </c>
      <c r="B71" s="192"/>
      <c r="C71" s="39" t="s">
        <v>296</v>
      </c>
      <c r="D71" s="40">
        <f>SUM(D6:D70)</f>
        <v>227377.69999999992</v>
      </c>
      <c r="E71" s="40">
        <f>SUM(E6:E70)</f>
        <v>221460.09999999992</v>
      </c>
      <c r="F71" s="69">
        <f>E71/D71*100</f>
        <v>97.397458062070285</v>
      </c>
      <c r="G71" s="40"/>
      <c r="H71" s="41"/>
      <c r="I71" s="42"/>
      <c r="J71" s="41"/>
    </row>
    <row r="72" spans="1:10" s="43" customFormat="1" ht="15" customHeight="1" x14ac:dyDescent="0.25">
      <c r="A72" s="190"/>
      <c r="B72" s="193"/>
      <c r="C72" s="39" t="s">
        <v>22</v>
      </c>
      <c r="D72" s="58">
        <f>D6+D7+D8+D9+D10+D11+D12+D13+D14+D15+D16+D17+D18+D19+D20+D21+D22+D23+D24+D25+D26+D27+D28+D29+D30+D31+D32+D33+D34+D35+D36+D37+D38+D39+D40+D41+D42+D43+D44+D45+D46+D47+D48+D49+D50+D51+D52+D53+D54+D55+D56+D57+D58+D59+D60+D61+D62+D63+D64+D65+D66+D67+D68+D69+D70</f>
        <v>227377.69999999992</v>
      </c>
      <c r="E72" s="58">
        <f>E6+E7+E8+E9+E10+E11+E12+E13+E14+E15+E16+E17+E18+E19+E20+E21+E22+E23+E24+E25+E26+E27+E28+E29+E30+E31+E32+E33+E34+E35+E36+E37+E38+E39+E40+E41+E42+E43+E44+E45+E46+E47+E48+E49+E50+E51+E52+E53+E54+E55+E56+E57+E58+E59+E60+E61+E62+E63+E64+E65+E66+E67+E68+E69+E70</f>
        <v>221460.09999999992</v>
      </c>
      <c r="F72" s="69">
        <f>E72/D72*100</f>
        <v>97.397458062070285</v>
      </c>
      <c r="G72" s="40"/>
      <c r="H72" s="41"/>
      <c r="I72" s="42"/>
      <c r="J72" s="41"/>
    </row>
    <row r="73" spans="1:10" s="43" customFormat="1" x14ac:dyDescent="0.25">
      <c r="A73" s="168" t="s">
        <v>45</v>
      </c>
      <c r="B73" s="169"/>
      <c r="C73" s="169"/>
      <c r="D73" s="169"/>
      <c r="E73" s="169"/>
      <c r="F73" s="169"/>
      <c r="G73" s="170"/>
      <c r="H73" s="41"/>
      <c r="I73" s="42"/>
      <c r="J73" s="41"/>
    </row>
    <row r="74" spans="1:10" ht="48.75" customHeight="1" x14ac:dyDescent="0.25">
      <c r="A74" s="78" t="s">
        <v>30</v>
      </c>
      <c r="B74" s="82" t="s">
        <v>70</v>
      </c>
      <c r="C74" s="31" t="s">
        <v>22</v>
      </c>
      <c r="D74" s="32">
        <v>24</v>
      </c>
      <c r="E74" s="32">
        <v>24</v>
      </c>
      <c r="F74" s="68">
        <f t="shared" ref="F74:F85" si="3">E74/D74*100</f>
        <v>100</v>
      </c>
      <c r="G74" s="32"/>
      <c r="H74" s="33"/>
      <c r="I74" s="34"/>
    </row>
    <row r="75" spans="1:10" ht="36.75" hidden="1" customHeight="1" x14ac:dyDescent="0.25">
      <c r="A75" s="78" t="s">
        <v>31</v>
      </c>
      <c r="B75" s="82"/>
      <c r="C75" s="31"/>
      <c r="D75" s="32">
        <v>0</v>
      </c>
      <c r="E75" s="32">
        <v>0</v>
      </c>
      <c r="F75" s="68" t="e">
        <f t="shared" si="3"/>
        <v>#DIV/0!</v>
      </c>
      <c r="G75" s="32"/>
      <c r="H75" s="33"/>
      <c r="I75" s="34"/>
    </row>
    <row r="76" spans="1:10" ht="48.75" customHeight="1" x14ac:dyDescent="0.25">
      <c r="A76" s="78" t="s">
        <v>36</v>
      </c>
      <c r="B76" s="82" t="s">
        <v>137</v>
      </c>
      <c r="C76" s="31" t="s">
        <v>22</v>
      </c>
      <c r="D76" s="32">
        <v>344.4</v>
      </c>
      <c r="E76" s="32">
        <v>344.4</v>
      </c>
      <c r="F76" s="68">
        <f t="shared" si="3"/>
        <v>100</v>
      </c>
      <c r="G76" s="32"/>
      <c r="H76" s="33"/>
      <c r="I76" s="34"/>
    </row>
    <row r="77" spans="1:10" ht="0.75" hidden="1" customHeight="1" x14ac:dyDescent="0.25">
      <c r="A77" s="78" t="s">
        <v>36</v>
      </c>
      <c r="B77" s="82"/>
      <c r="C77" s="31"/>
      <c r="D77" s="32">
        <v>0</v>
      </c>
      <c r="E77" s="32">
        <v>0</v>
      </c>
      <c r="F77" s="68" t="e">
        <f t="shared" si="3"/>
        <v>#DIV/0!</v>
      </c>
      <c r="G77" s="32"/>
      <c r="H77" s="33"/>
      <c r="I77" s="34"/>
    </row>
    <row r="78" spans="1:10" ht="48" x14ac:dyDescent="0.25">
      <c r="A78" s="78" t="s">
        <v>33</v>
      </c>
      <c r="B78" s="82" t="s">
        <v>160</v>
      </c>
      <c r="C78" s="31" t="s">
        <v>22</v>
      </c>
      <c r="D78" s="32">
        <v>124.2</v>
      </c>
      <c r="E78" s="32">
        <v>124.2</v>
      </c>
      <c r="F78" s="68">
        <f t="shared" si="3"/>
        <v>100</v>
      </c>
      <c r="G78" s="32"/>
      <c r="H78" s="33"/>
      <c r="I78" s="34"/>
    </row>
    <row r="79" spans="1:10" ht="48.75" customHeight="1" x14ac:dyDescent="0.25">
      <c r="A79" s="78" t="s">
        <v>34</v>
      </c>
      <c r="B79" s="82" t="s">
        <v>46</v>
      </c>
      <c r="C79" s="31" t="s">
        <v>22</v>
      </c>
      <c r="D79" s="32">
        <v>242.4</v>
      </c>
      <c r="E79" s="32">
        <v>242.4</v>
      </c>
      <c r="F79" s="68">
        <f t="shared" si="3"/>
        <v>100</v>
      </c>
      <c r="G79" s="32"/>
      <c r="H79" s="33"/>
      <c r="I79" s="34"/>
    </row>
    <row r="80" spans="1:10" ht="51" customHeight="1" x14ac:dyDescent="0.25">
      <c r="A80" s="78" t="s">
        <v>35</v>
      </c>
      <c r="B80" s="82" t="s">
        <v>288</v>
      </c>
      <c r="C80" s="31" t="s">
        <v>22</v>
      </c>
      <c r="D80" s="32">
        <v>127.5</v>
      </c>
      <c r="E80" s="32">
        <v>127.5</v>
      </c>
      <c r="F80" s="68">
        <f t="shared" si="3"/>
        <v>100</v>
      </c>
      <c r="G80" s="32"/>
      <c r="H80" s="33"/>
      <c r="I80" s="34"/>
    </row>
    <row r="81" spans="1:10" hidden="1" x14ac:dyDescent="0.25">
      <c r="A81" s="78" t="s">
        <v>37</v>
      </c>
      <c r="B81" s="82"/>
      <c r="C81" s="31"/>
      <c r="D81" s="32">
        <v>0</v>
      </c>
      <c r="E81" s="32">
        <v>0</v>
      </c>
      <c r="F81" s="68" t="e">
        <f t="shared" si="3"/>
        <v>#DIV/0!</v>
      </c>
      <c r="G81" s="32"/>
      <c r="H81" s="33"/>
      <c r="I81" s="34"/>
    </row>
    <row r="82" spans="1:10" ht="12.75" hidden="1" customHeight="1" x14ac:dyDescent="0.25">
      <c r="A82" s="78" t="s">
        <v>38</v>
      </c>
      <c r="B82" s="82"/>
      <c r="C82" s="31"/>
      <c r="D82" s="32">
        <v>0</v>
      </c>
      <c r="E82" s="32">
        <v>0</v>
      </c>
      <c r="F82" s="68" t="e">
        <f t="shared" si="3"/>
        <v>#DIV/0!</v>
      </c>
      <c r="G82" s="32"/>
      <c r="H82" s="33"/>
      <c r="I82" s="34"/>
    </row>
    <row r="83" spans="1:10" ht="50.25" customHeight="1" x14ac:dyDescent="0.25">
      <c r="A83" s="78" t="s">
        <v>39</v>
      </c>
      <c r="B83" s="82" t="s">
        <v>230</v>
      </c>
      <c r="C83" s="31" t="s">
        <v>22</v>
      </c>
      <c r="D83" s="32">
        <v>1004</v>
      </c>
      <c r="E83" s="32">
        <v>944.1</v>
      </c>
      <c r="F83" s="68">
        <f t="shared" si="3"/>
        <v>94.033864541832671</v>
      </c>
      <c r="G83" s="32" t="s">
        <v>407</v>
      </c>
      <c r="H83" s="33"/>
      <c r="I83" s="34"/>
    </row>
    <row r="84" spans="1:10" ht="54.75" customHeight="1" x14ac:dyDescent="0.25">
      <c r="A84" s="75" t="s">
        <v>40</v>
      </c>
      <c r="B84" s="82" t="s">
        <v>253</v>
      </c>
      <c r="C84" s="31" t="s">
        <v>22</v>
      </c>
      <c r="D84" s="32">
        <v>792</v>
      </c>
      <c r="E84" s="32">
        <v>792</v>
      </c>
      <c r="F84" s="68">
        <f t="shared" si="3"/>
        <v>100</v>
      </c>
      <c r="G84" s="32"/>
      <c r="H84" s="33"/>
      <c r="I84" s="34"/>
    </row>
    <row r="85" spans="1:10" ht="51" customHeight="1" x14ac:dyDescent="0.25">
      <c r="A85" s="78" t="s">
        <v>41</v>
      </c>
      <c r="B85" s="82" t="s">
        <v>94</v>
      </c>
      <c r="C85" s="31" t="s">
        <v>22</v>
      </c>
      <c r="D85" s="32">
        <v>174</v>
      </c>
      <c r="E85" s="32">
        <v>174</v>
      </c>
      <c r="F85" s="68">
        <f t="shared" si="3"/>
        <v>100</v>
      </c>
      <c r="G85" s="32"/>
      <c r="H85" s="33"/>
      <c r="I85" s="34"/>
    </row>
    <row r="86" spans="1:10" ht="11.25" customHeight="1" x14ac:dyDescent="0.25">
      <c r="A86" s="186" t="s">
        <v>203</v>
      </c>
      <c r="B86" s="192"/>
      <c r="C86" s="39" t="s">
        <v>296</v>
      </c>
      <c r="D86" s="40">
        <f>SUM(D74:D85)</f>
        <v>2832.5</v>
      </c>
      <c r="E86" s="40">
        <f>SUM(E74:E85)</f>
        <v>2772.6</v>
      </c>
      <c r="F86" s="69">
        <f>E86/D86*100</f>
        <v>97.885260370697253</v>
      </c>
      <c r="G86" s="40"/>
      <c r="H86" s="33"/>
      <c r="I86" s="34"/>
    </row>
    <row r="87" spans="1:10" ht="12" customHeight="1" x14ac:dyDescent="0.25">
      <c r="A87" s="190"/>
      <c r="B87" s="193"/>
      <c r="C87" s="39" t="s">
        <v>22</v>
      </c>
      <c r="D87" s="58">
        <f>D74+D75+D76+D77+D78+D79+D80+D81+D82+D83+D84+D85</f>
        <v>2832.5</v>
      </c>
      <c r="E87" s="58">
        <f>E74+E75+E76+E77+E78+E79+E80+E81+E82+E83+E84+E85</f>
        <v>2772.6</v>
      </c>
      <c r="F87" s="69">
        <f>E87/D87*100</f>
        <v>97.885260370697253</v>
      </c>
      <c r="G87" s="40"/>
      <c r="H87" s="33"/>
      <c r="I87" s="34"/>
    </row>
    <row r="88" spans="1:10" s="43" customFormat="1" ht="12" customHeight="1" x14ac:dyDescent="0.25">
      <c r="A88" s="168" t="s">
        <v>401</v>
      </c>
      <c r="B88" s="169"/>
      <c r="C88" s="169"/>
      <c r="D88" s="169"/>
      <c r="E88" s="169"/>
      <c r="F88" s="169"/>
      <c r="G88" s="170"/>
      <c r="H88" s="41"/>
      <c r="I88" s="42"/>
      <c r="J88" s="41"/>
    </row>
    <row r="89" spans="1:10" ht="36.75" customHeight="1" x14ac:dyDescent="0.25">
      <c r="A89" s="78" t="s">
        <v>30</v>
      </c>
      <c r="B89" s="82" t="s">
        <v>71</v>
      </c>
      <c r="C89" s="31" t="s">
        <v>22</v>
      </c>
      <c r="D89" s="32">
        <v>10</v>
      </c>
      <c r="E89" s="32">
        <v>10</v>
      </c>
      <c r="F89" s="68">
        <f t="shared" si="1"/>
        <v>100</v>
      </c>
      <c r="G89" s="32"/>
      <c r="H89" s="33"/>
      <c r="I89" s="34"/>
    </row>
    <row r="90" spans="1:10" ht="49.5" customHeight="1" x14ac:dyDescent="0.25">
      <c r="A90" s="78" t="s">
        <v>31</v>
      </c>
      <c r="B90" s="82" t="s">
        <v>122</v>
      </c>
      <c r="C90" s="31" t="s">
        <v>22</v>
      </c>
      <c r="D90" s="32">
        <v>0</v>
      </c>
      <c r="E90" s="32">
        <v>0</v>
      </c>
      <c r="F90" s="68" t="e">
        <f t="shared" si="1"/>
        <v>#DIV/0!</v>
      </c>
      <c r="G90" s="32" t="s">
        <v>343</v>
      </c>
      <c r="H90" s="33"/>
      <c r="I90" s="34"/>
    </row>
    <row r="91" spans="1:10" ht="36" x14ac:dyDescent="0.25">
      <c r="A91" s="78" t="s">
        <v>32</v>
      </c>
      <c r="B91" s="82" t="s">
        <v>124</v>
      </c>
      <c r="C91" s="31" t="s">
        <v>22</v>
      </c>
      <c r="D91" s="32">
        <v>32.9</v>
      </c>
      <c r="E91" s="32">
        <v>32.9</v>
      </c>
      <c r="F91" s="68">
        <f t="shared" si="1"/>
        <v>100</v>
      </c>
      <c r="G91" s="32"/>
      <c r="H91" s="33"/>
      <c r="I91" s="34"/>
    </row>
    <row r="92" spans="1:10" ht="38.25" customHeight="1" x14ac:dyDescent="0.25">
      <c r="A92" s="78" t="s">
        <v>36</v>
      </c>
      <c r="B92" s="82" t="s">
        <v>141</v>
      </c>
      <c r="C92" s="31" t="s">
        <v>22</v>
      </c>
      <c r="D92" s="32">
        <v>51.4</v>
      </c>
      <c r="E92" s="32">
        <v>51.4</v>
      </c>
      <c r="F92" s="68">
        <f t="shared" si="1"/>
        <v>100</v>
      </c>
      <c r="G92" s="32"/>
      <c r="H92" s="33"/>
      <c r="I92" s="34"/>
    </row>
    <row r="93" spans="1:10" ht="64.5" customHeight="1" x14ac:dyDescent="0.25">
      <c r="A93" s="78" t="s">
        <v>33</v>
      </c>
      <c r="B93" s="82" t="s">
        <v>161</v>
      </c>
      <c r="C93" s="31" t="s">
        <v>22</v>
      </c>
      <c r="D93" s="32">
        <v>20.7</v>
      </c>
      <c r="E93" s="32">
        <v>20.7</v>
      </c>
      <c r="F93" s="68">
        <f t="shared" si="1"/>
        <v>100</v>
      </c>
      <c r="G93" s="32"/>
      <c r="H93" s="33"/>
      <c r="I93" s="34"/>
    </row>
    <row r="94" spans="1:10" ht="48" customHeight="1" x14ac:dyDescent="0.25">
      <c r="A94" s="171" t="s">
        <v>34</v>
      </c>
      <c r="B94" s="82" t="s">
        <v>52</v>
      </c>
      <c r="C94" s="31" t="s">
        <v>22</v>
      </c>
      <c r="D94" s="32">
        <v>2</v>
      </c>
      <c r="E94" s="32">
        <v>0</v>
      </c>
      <c r="F94" s="68">
        <f t="shared" si="1"/>
        <v>0</v>
      </c>
      <c r="G94" s="32" t="s">
        <v>351</v>
      </c>
      <c r="H94" s="33"/>
      <c r="I94" s="34"/>
    </row>
    <row r="95" spans="1:10" ht="38.25" customHeight="1" x14ac:dyDescent="0.25">
      <c r="A95" s="172"/>
      <c r="B95" s="82" t="s">
        <v>53</v>
      </c>
      <c r="C95" s="31" t="s">
        <v>22</v>
      </c>
      <c r="D95" s="32">
        <v>67.3</v>
      </c>
      <c r="E95" s="32">
        <v>63.1</v>
      </c>
      <c r="F95" s="68">
        <f t="shared" si="1"/>
        <v>93.759286775631509</v>
      </c>
      <c r="G95" s="32" t="s">
        <v>352</v>
      </c>
      <c r="H95" s="33"/>
      <c r="I95" s="34"/>
    </row>
    <row r="96" spans="1:10" ht="48.75" customHeight="1" x14ac:dyDescent="0.25">
      <c r="A96" s="172"/>
      <c r="B96" s="82" t="s">
        <v>54</v>
      </c>
      <c r="C96" s="31" t="s">
        <v>22</v>
      </c>
      <c r="D96" s="32">
        <v>3</v>
      </c>
      <c r="E96" s="32">
        <v>3</v>
      </c>
      <c r="F96" s="68">
        <f t="shared" si="1"/>
        <v>100</v>
      </c>
      <c r="G96" s="32"/>
      <c r="H96" s="33"/>
      <c r="I96" s="34"/>
    </row>
    <row r="97" spans="1:9" ht="52.5" customHeight="1" x14ac:dyDescent="0.25">
      <c r="A97" s="173"/>
      <c r="B97" s="82" t="s">
        <v>55</v>
      </c>
      <c r="C97" s="31" t="s">
        <v>22</v>
      </c>
      <c r="D97" s="32">
        <v>3</v>
      </c>
      <c r="E97" s="32">
        <v>0</v>
      </c>
      <c r="F97" s="68">
        <f t="shared" si="1"/>
        <v>0</v>
      </c>
      <c r="G97" s="32" t="s">
        <v>353</v>
      </c>
      <c r="H97" s="33"/>
      <c r="I97" s="34"/>
    </row>
    <row r="98" spans="1:9" ht="26.25" customHeight="1" x14ac:dyDescent="0.25">
      <c r="A98" s="171" t="s">
        <v>35</v>
      </c>
      <c r="B98" s="82" t="s">
        <v>177</v>
      </c>
      <c r="C98" s="31" t="s">
        <v>22</v>
      </c>
      <c r="D98" s="32">
        <v>7.5</v>
      </c>
      <c r="E98" s="32">
        <v>7.5</v>
      </c>
      <c r="F98" s="68">
        <f t="shared" si="1"/>
        <v>100</v>
      </c>
      <c r="G98" s="32"/>
      <c r="H98" s="33"/>
      <c r="I98" s="34"/>
    </row>
    <row r="99" spans="1:9" ht="48" x14ac:dyDescent="0.25">
      <c r="A99" s="172"/>
      <c r="B99" s="82" t="s">
        <v>178</v>
      </c>
      <c r="C99" s="31" t="s">
        <v>22</v>
      </c>
      <c r="D99" s="32">
        <v>5.6</v>
      </c>
      <c r="E99" s="32">
        <v>5.6</v>
      </c>
      <c r="F99" s="68">
        <f t="shared" si="1"/>
        <v>100</v>
      </c>
      <c r="G99" s="32"/>
      <c r="H99" s="33"/>
      <c r="I99" s="34"/>
    </row>
    <row r="100" spans="1:9" ht="48" x14ac:dyDescent="0.25">
      <c r="A100" s="173"/>
      <c r="B100" s="82" t="s">
        <v>179</v>
      </c>
      <c r="C100" s="31" t="s">
        <v>22</v>
      </c>
      <c r="D100" s="32">
        <v>4.4000000000000004</v>
      </c>
      <c r="E100" s="32">
        <v>4.4000000000000004</v>
      </c>
      <c r="F100" s="68">
        <f t="shared" si="1"/>
        <v>100</v>
      </c>
      <c r="G100" s="32"/>
      <c r="H100" s="33"/>
      <c r="I100" s="34"/>
    </row>
    <row r="101" spans="1:9" ht="38.25" customHeight="1" x14ac:dyDescent="0.25">
      <c r="A101" s="171" t="s">
        <v>37</v>
      </c>
      <c r="B101" s="82" t="s">
        <v>194</v>
      </c>
      <c r="C101" s="31" t="s">
        <v>22</v>
      </c>
      <c r="D101" s="32">
        <v>139.80000000000001</v>
      </c>
      <c r="E101" s="32">
        <v>139.80000000000001</v>
      </c>
      <c r="F101" s="68">
        <f t="shared" si="1"/>
        <v>100</v>
      </c>
      <c r="G101" s="32"/>
      <c r="H101" s="33"/>
      <c r="I101" s="34"/>
    </row>
    <row r="102" spans="1:9" ht="24.75" customHeight="1" x14ac:dyDescent="0.25">
      <c r="A102" s="173"/>
      <c r="B102" s="85" t="s">
        <v>376</v>
      </c>
      <c r="C102" s="31" t="s">
        <v>22</v>
      </c>
      <c r="D102" s="32">
        <v>5</v>
      </c>
      <c r="E102" s="32">
        <v>5</v>
      </c>
      <c r="F102" s="68">
        <f t="shared" ref="F102" si="4">E102/D102*100</f>
        <v>100</v>
      </c>
      <c r="G102" s="32"/>
      <c r="H102" s="33"/>
      <c r="I102" s="34"/>
    </row>
    <row r="103" spans="1:9" ht="40.5" customHeight="1" x14ac:dyDescent="0.25">
      <c r="A103" s="171" t="s">
        <v>38</v>
      </c>
      <c r="B103" s="82" t="s">
        <v>211</v>
      </c>
      <c r="C103" s="31" t="s">
        <v>22</v>
      </c>
      <c r="D103" s="32">
        <v>178.8</v>
      </c>
      <c r="E103" s="32">
        <v>178.8</v>
      </c>
      <c r="F103" s="68">
        <f t="shared" si="1"/>
        <v>100</v>
      </c>
      <c r="G103" s="32"/>
      <c r="H103" s="33"/>
      <c r="I103" s="34"/>
    </row>
    <row r="104" spans="1:9" ht="37.5" customHeight="1" x14ac:dyDescent="0.25">
      <c r="A104" s="173"/>
      <c r="B104" s="82" t="s">
        <v>212</v>
      </c>
      <c r="C104" s="31" t="s">
        <v>22</v>
      </c>
      <c r="D104" s="32">
        <v>10</v>
      </c>
      <c r="E104" s="32">
        <v>10</v>
      </c>
      <c r="F104" s="68">
        <f t="shared" si="1"/>
        <v>100</v>
      </c>
      <c r="G104" s="32"/>
      <c r="H104" s="33"/>
      <c r="I104" s="34"/>
    </row>
    <row r="105" spans="1:9" ht="111" customHeight="1" x14ac:dyDescent="0.25">
      <c r="A105" s="171" t="s">
        <v>39</v>
      </c>
      <c r="B105" s="82" t="s">
        <v>233</v>
      </c>
      <c r="C105" s="31" t="s">
        <v>22</v>
      </c>
      <c r="D105" s="32">
        <v>415</v>
      </c>
      <c r="E105" s="32">
        <v>414.5</v>
      </c>
      <c r="F105" s="68">
        <f t="shared" si="1"/>
        <v>99.879518072289159</v>
      </c>
      <c r="G105" s="32" t="s">
        <v>340</v>
      </c>
      <c r="H105" s="33"/>
      <c r="I105" s="34"/>
    </row>
    <row r="106" spans="1:9" ht="38.25" customHeight="1" x14ac:dyDescent="0.25">
      <c r="A106" s="173"/>
      <c r="B106" s="82" t="s">
        <v>234</v>
      </c>
      <c r="C106" s="31" t="s">
        <v>22</v>
      </c>
      <c r="D106" s="32">
        <v>1230</v>
      </c>
      <c r="E106" s="32">
        <v>1085.8</v>
      </c>
      <c r="F106" s="68">
        <f t="shared" si="1"/>
        <v>88.276422764227632</v>
      </c>
      <c r="G106" s="32" t="s">
        <v>364</v>
      </c>
      <c r="H106" s="33"/>
      <c r="I106" s="34"/>
    </row>
    <row r="107" spans="1:9" ht="39.75" customHeight="1" x14ac:dyDescent="0.25">
      <c r="A107" s="171" t="s">
        <v>40</v>
      </c>
      <c r="B107" s="82" t="s">
        <v>257</v>
      </c>
      <c r="C107" s="31" t="s">
        <v>22</v>
      </c>
      <c r="D107" s="32">
        <v>1647.5</v>
      </c>
      <c r="E107" s="32">
        <v>1569</v>
      </c>
      <c r="F107" s="68">
        <f t="shared" si="1"/>
        <v>95.235204855842184</v>
      </c>
      <c r="G107" s="32" t="s">
        <v>407</v>
      </c>
      <c r="H107" s="33"/>
      <c r="I107" s="34"/>
    </row>
    <row r="108" spans="1:9" ht="48" x14ac:dyDescent="0.25">
      <c r="A108" s="172"/>
      <c r="B108" s="82" t="s">
        <v>259</v>
      </c>
      <c r="C108" s="31" t="s">
        <v>22</v>
      </c>
      <c r="D108" s="32">
        <v>189</v>
      </c>
      <c r="E108" s="32">
        <v>181</v>
      </c>
      <c r="F108" s="68">
        <f t="shared" si="1"/>
        <v>95.767195767195773</v>
      </c>
      <c r="G108" s="32" t="s">
        <v>407</v>
      </c>
      <c r="H108" s="33"/>
      <c r="I108" s="34"/>
    </row>
    <row r="109" spans="1:9" ht="36" x14ac:dyDescent="0.25">
      <c r="A109" s="172"/>
      <c r="B109" s="82" t="s">
        <v>260</v>
      </c>
      <c r="C109" s="31" t="s">
        <v>22</v>
      </c>
      <c r="D109" s="32">
        <v>100</v>
      </c>
      <c r="E109" s="32">
        <v>100</v>
      </c>
      <c r="F109" s="68">
        <f t="shared" si="1"/>
        <v>100</v>
      </c>
      <c r="G109" s="32"/>
      <c r="H109" s="33"/>
      <c r="I109" s="34"/>
    </row>
    <row r="110" spans="1:9" ht="39.75" customHeight="1" x14ac:dyDescent="0.25">
      <c r="A110" s="173"/>
      <c r="B110" s="82" t="s">
        <v>261</v>
      </c>
      <c r="C110" s="31" t="s">
        <v>22</v>
      </c>
      <c r="D110" s="32">
        <v>100</v>
      </c>
      <c r="E110" s="32">
        <v>95.4</v>
      </c>
      <c r="F110" s="68">
        <f t="shared" si="1"/>
        <v>95.4</v>
      </c>
      <c r="G110" s="32" t="s">
        <v>407</v>
      </c>
      <c r="H110" s="33"/>
      <c r="I110" s="34"/>
    </row>
    <row r="111" spans="1:9" ht="39.75" customHeight="1" x14ac:dyDescent="0.25">
      <c r="A111" s="171" t="s">
        <v>41</v>
      </c>
      <c r="B111" s="82" t="s">
        <v>95</v>
      </c>
      <c r="C111" s="31" t="s">
        <v>22</v>
      </c>
      <c r="D111" s="32">
        <v>12.4</v>
      </c>
      <c r="E111" s="32">
        <v>12.4</v>
      </c>
      <c r="F111" s="68">
        <f t="shared" si="1"/>
        <v>100</v>
      </c>
      <c r="G111" s="32"/>
      <c r="H111" s="33"/>
      <c r="I111" s="34"/>
    </row>
    <row r="112" spans="1:9" ht="52.5" customHeight="1" x14ac:dyDescent="0.25">
      <c r="A112" s="172"/>
      <c r="B112" s="82" t="s">
        <v>96</v>
      </c>
      <c r="C112" s="31" t="s">
        <v>22</v>
      </c>
      <c r="D112" s="32">
        <v>39.700000000000003</v>
      </c>
      <c r="E112" s="32">
        <v>39.700000000000003</v>
      </c>
      <c r="F112" s="68">
        <f t="shared" si="1"/>
        <v>100</v>
      </c>
      <c r="G112" s="32"/>
      <c r="H112" s="33"/>
      <c r="I112" s="34"/>
    </row>
    <row r="113" spans="1:10" ht="50.25" customHeight="1" x14ac:dyDescent="0.25">
      <c r="A113" s="173"/>
      <c r="B113" s="82" t="s">
        <v>97</v>
      </c>
      <c r="C113" s="31" t="s">
        <v>22</v>
      </c>
      <c r="D113" s="32">
        <v>4</v>
      </c>
      <c r="E113" s="32">
        <v>4</v>
      </c>
      <c r="F113" s="68">
        <f t="shared" si="1"/>
        <v>100</v>
      </c>
      <c r="G113" s="32"/>
      <c r="H113" s="33"/>
      <c r="I113" s="34"/>
    </row>
    <row r="114" spans="1:10" ht="12" customHeight="1" x14ac:dyDescent="0.25">
      <c r="A114" s="186" t="s">
        <v>203</v>
      </c>
      <c r="B114" s="192"/>
      <c r="C114" s="39" t="s">
        <v>296</v>
      </c>
      <c r="D114" s="40">
        <f>SUM(D89:D113)</f>
        <v>4278.9999999999991</v>
      </c>
      <c r="E114" s="40">
        <f>SUM(E89:E113)</f>
        <v>4034</v>
      </c>
      <c r="F114" s="69">
        <f>E114/D114*100</f>
        <v>94.27436316896474</v>
      </c>
      <c r="G114" s="40"/>
      <c r="H114" s="33"/>
      <c r="I114" s="34"/>
    </row>
    <row r="115" spans="1:10" x14ac:dyDescent="0.25">
      <c r="A115" s="190"/>
      <c r="B115" s="193"/>
      <c r="C115" s="39" t="s">
        <v>22</v>
      </c>
      <c r="D115" s="58">
        <f>D89+D90+D91+D92+D93+D94+D95+D96+D97+D98+D99+D100+D101+D103+D104+D105+D106+D107+D108+D109+D110+D111+D112+D113</f>
        <v>4273.9999999999991</v>
      </c>
      <c r="E115" s="58">
        <f>E89+E90+E91+E92+E93+E94+E95+E96+E97+E98+E99+E100+E101+E103+E104+E105+E106+E107+E108+E109+E110+E111+E112+E113</f>
        <v>4029</v>
      </c>
      <c r="F115" s="69">
        <f>E115/D115*100</f>
        <v>94.267664950865708</v>
      </c>
      <c r="G115" s="40"/>
      <c r="H115" s="33"/>
      <c r="I115" s="34"/>
    </row>
    <row r="116" spans="1:10" s="43" customFormat="1" ht="12" customHeight="1" x14ac:dyDescent="0.25">
      <c r="A116" s="177" t="s">
        <v>50</v>
      </c>
      <c r="B116" s="178"/>
      <c r="C116" s="178"/>
      <c r="D116" s="178"/>
      <c r="E116" s="178"/>
      <c r="F116" s="178"/>
      <c r="G116" s="179"/>
      <c r="H116" s="41"/>
      <c r="I116" s="42"/>
      <c r="J116" s="41"/>
    </row>
    <row r="117" spans="1:10" ht="24" hidden="1" x14ac:dyDescent="0.25">
      <c r="A117" s="78" t="s">
        <v>30</v>
      </c>
      <c r="B117" s="82"/>
      <c r="C117" s="31"/>
      <c r="D117" s="32">
        <v>0</v>
      </c>
      <c r="E117" s="32">
        <v>0</v>
      </c>
      <c r="F117" s="68" t="e">
        <f t="shared" si="1"/>
        <v>#DIV/0!</v>
      </c>
      <c r="G117" s="32"/>
      <c r="H117" s="33"/>
      <c r="I117" s="34"/>
    </row>
    <row r="118" spans="1:10" ht="12.75" hidden="1" customHeight="1" x14ac:dyDescent="0.25">
      <c r="A118" s="78" t="s">
        <v>31</v>
      </c>
      <c r="B118" s="82"/>
      <c r="C118" s="31"/>
      <c r="D118" s="32">
        <v>0</v>
      </c>
      <c r="E118" s="32">
        <v>0</v>
      </c>
      <c r="F118" s="68" t="e">
        <f t="shared" si="1"/>
        <v>#DIV/0!</v>
      </c>
      <c r="G118" s="32"/>
      <c r="H118" s="33"/>
      <c r="I118" s="34"/>
    </row>
    <row r="119" spans="1:10" hidden="1" x14ac:dyDescent="0.25">
      <c r="A119" s="78" t="s">
        <v>32</v>
      </c>
      <c r="B119" s="82"/>
      <c r="C119" s="31"/>
      <c r="D119" s="32">
        <v>0</v>
      </c>
      <c r="E119" s="32">
        <v>0</v>
      </c>
      <c r="F119" s="68" t="e">
        <f t="shared" si="1"/>
        <v>#DIV/0!</v>
      </c>
      <c r="G119" s="32"/>
      <c r="H119" s="33"/>
      <c r="I119" s="34"/>
    </row>
    <row r="120" spans="1:10" ht="36.75" customHeight="1" x14ac:dyDescent="0.25">
      <c r="A120" s="78" t="s">
        <v>36</v>
      </c>
      <c r="B120" s="82" t="s">
        <v>145</v>
      </c>
      <c r="C120" s="31" t="s">
        <v>22</v>
      </c>
      <c r="D120" s="32">
        <v>320.5</v>
      </c>
      <c r="E120" s="32">
        <v>320.5</v>
      </c>
      <c r="F120" s="68">
        <f t="shared" si="1"/>
        <v>100</v>
      </c>
      <c r="G120" s="32"/>
      <c r="H120" s="33"/>
      <c r="I120" s="34"/>
    </row>
    <row r="121" spans="1:10" ht="64.5" customHeight="1" x14ac:dyDescent="0.25">
      <c r="A121" s="78" t="s">
        <v>33</v>
      </c>
      <c r="B121" s="82" t="s">
        <v>168</v>
      </c>
      <c r="C121" s="31" t="s">
        <v>22</v>
      </c>
      <c r="D121" s="32">
        <v>112.2</v>
      </c>
      <c r="E121" s="32">
        <v>88.7</v>
      </c>
      <c r="F121" s="68">
        <f t="shared" si="1"/>
        <v>79.055258467023165</v>
      </c>
      <c r="G121" s="32" t="s">
        <v>387</v>
      </c>
      <c r="H121" s="33"/>
      <c r="I121" s="34"/>
    </row>
    <row r="122" spans="1:10" ht="171" customHeight="1" x14ac:dyDescent="0.25">
      <c r="A122" s="78" t="s">
        <v>34</v>
      </c>
      <c r="B122" s="82" t="s">
        <v>49</v>
      </c>
      <c r="C122" s="31" t="s">
        <v>22</v>
      </c>
      <c r="D122" s="32">
        <v>3062.3</v>
      </c>
      <c r="E122" s="32">
        <v>698.5</v>
      </c>
      <c r="F122" s="68">
        <f t="shared" si="1"/>
        <v>22.809652875289814</v>
      </c>
      <c r="G122" s="117" t="s">
        <v>393</v>
      </c>
      <c r="H122" s="33"/>
      <c r="I122" s="34"/>
    </row>
    <row r="123" spans="1:10" ht="75.75" customHeight="1" x14ac:dyDescent="0.25">
      <c r="A123" s="78" t="s">
        <v>35</v>
      </c>
      <c r="B123" s="82" t="s">
        <v>182</v>
      </c>
      <c r="C123" s="31" t="s">
        <v>22</v>
      </c>
      <c r="D123" s="32">
        <v>200</v>
      </c>
      <c r="E123" s="32">
        <v>99.8</v>
      </c>
      <c r="F123" s="68">
        <f t="shared" si="1"/>
        <v>49.9</v>
      </c>
      <c r="G123" s="32" t="s">
        <v>383</v>
      </c>
      <c r="H123" s="33"/>
      <c r="I123" s="34"/>
    </row>
    <row r="124" spans="1:10" hidden="1" x14ac:dyDescent="0.25">
      <c r="A124" s="78" t="s">
        <v>37</v>
      </c>
      <c r="B124" s="82"/>
      <c r="C124" s="31"/>
      <c r="D124" s="32">
        <v>0</v>
      </c>
      <c r="E124" s="32">
        <v>0</v>
      </c>
      <c r="F124" s="68" t="e">
        <f t="shared" si="1"/>
        <v>#DIV/0!</v>
      </c>
      <c r="G124" s="32"/>
      <c r="H124" s="33"/>
      <c r="I124" s="34"/>
    </row>
    <row r="125" spans="1:10" ht="52.5" customHeight="1" x14ac:dyDescent="0.25">
      <c r="A125" s="78" t="s">
        <v>38</v>
      </c>
      <c r="B125" s="82" t="s">
        <v>214</v>
      </c>
      <c r="C125" s="31" t="s">
        <v>22</v>
      </c>
      <c r="D125" s="32">
        <v>129.5</v>
      </c>
      <c r="E125" s="32">
        <v>129.5</v>
      </c>
      <c r="F125" s="68">
        <f t="shared" si="1"/>
        <v>100</v>
      </c>
      <c r="G125" s="32"/>
      <c r="H125" s="33"/>
      <c r="I125" s="34"/>
    </row>
    <row r="126" spans="1:10" hidden="1" x14ac:dyDescent="0.25">
      <c r="A126" s="78" t="s">
        <v>39</v>
      </c>
      <c r="B126" s="82"/>
      <c r="C126" s="31"/>
      <c r="D126" s="32">
        <v>0</v>
      </c>
      <c r="E126" s="32">
        <v>0</v>
      </c>
      <c r="F126" s="68" t="e">
        <f t="shared" si="1"/>
        <v>#DIV/0!</v>
      </c>
      <c r="G126" s="32"/>
      <c r="H126" s="33"/>
      <c r="I126" s="34"/>
    </row>
    <row r="127" spans="1:10" ht="36.75" customHeight="1" x14ac:dyDescent="0.25">
      <c r="A127" s="171" t="s">
        <v>40</v>
      </c>
      <c r="B127" s="82" t="s">
        <v>250</v>
      </c>
      <c r="C127" s="31" t="s">
        <v>22</v>
      </c>
      <c r="D127" s="32">
        <v>6002.8</v>
      </c>
      <c r="E127" s="32">
        <v>5679.6</v>
      </c>
      <c r="F127" s="68">
        <f t="shared" si="1"/>
        <v>94.615845938562003</v>
      </c>
      <c r="G127" s="32" t="s">
        <v>409</v>
      </c>
      <c r="H127" s="33"/>
      <c r="I127" s="34"/>
    </row>
    <row r="128" spans="1:10" ht="88.5" customHeight="1" x14ac:dyDescent="0.25">
      <c r="A128" s="173"/>
      <c r="B128" s="82" t="s">
        <v>264</v>
      </c>
      <c r="C128" s="31" t="s">
        <v>22</v>
      </c>
      <c r="D128" s="32">
        <v>930.7</v>
      </c>
      <c r="E128" s="32">
        <v>853.6</v>
      </c>
      <c r="F128" s="68">
        <f t="shared" si="1"/>
        <v>91.715912753841195</v>
      </c>
      <c r="G128" s="32" t="s">
        <v>410</v>
      </c>
      <c r="H128" s="33"/>
      <c r="I128" s="34"/>
    </row>
    <row r="129" spans="1:10" ht="24" hidden="1" x14ac:dyDescent="0.25">
      <c r="A129" s="78" t="s">
        <v>41</v>
      </c>
      <c r="B129" s="82"/>
      <c r="C129" s="31"/>
      <c r="D129" s="32">
        <v>0</v>
      </c>
      <c r="E129" s="32">
        <v>0</v>
      </c>
      <c r="F129" s="68" t="e">
        <f t="shared" si="1"/>
        <v>#DIV/0!</v>
      </c>
      <c r="G129" s="32"/>
      <c r="H129" s="33"/>
      <c r="I129" s="34"/>
    </row>
    <row r="130" spans="1:10" ht="12" customHeight="1" x14ac:dyDescent="0.25">
      <c r="A130" s="186" t="s">
        <v>203</v>
      </c>
      <c r="B130" s="192"/>
      <c r="C130" s="39" t="s">
        <v>296</v>
      </c>
      <c r="D130" s="40">
        <f>SUM(D120:D129)</f>
        <v>10758</v>
      </c>
      <c r="E130" s="40">
        <f>SUM(E120:E129)</f>
        <v>7870.2000000000007</v>
      </c>
      <c r="F130" s="69">
        <f>E130/D130*100</f>
        <v>73.156720580033479</v>
      </c>
      <c r="G130" s="40"/>
      <c r="H130" s="33"/>
      <c r="I130" s="34"/>
    </row>
    <row r="131" spans="1:10" x14ac:dyDescent="0.25">
      <c r="A131" s="190"/>
      <c r="B131" s="193"/>
      <c r="C131" s="39" t="s">
        <v>22</v>
      </c>
      <c r="D131" s="58">
        <f>D117+D118+D119+D120+D121+D122+D123+D124+D125+D126+D127+D128+D129</f>
        <v>10758</v>
      </c>
      <c r="E131" s="58">
        <f>E117+E118+E119+E120+E121+E122+E123+E124+E125+E126+E127+E128+E129</f>
        <v>7870.2000000000007</v>
      </c>
      <c r="F131" s="69">
        <f>E131/D131*100</f>
        <v>73.156720580033479</v>
      </c>
      <c r="G131" s="40"/>
      <c r="H131" s="33"/>
      <c r="I131" s="34"/>
    </row>
    <row r="132" spans="1:10" ht="12" customHeight="1" x14ac:dyDescent="0.25">
      <c r="A132" s="177" t="s">
        <v>406</v>
      </c>
      <c r="B132" s="178"/>
      <c r="C132" s="178"/>
      <c r="D132" s="178"/>
      <c r="E132" s="178"/>
      <c r="F132" s="178"/>
      <c r="G132" s="179"/>
      <c r="H132" s="33"/>
      <c r="I132" s="34"/>
    </row>
    <row r="133" spans="1:10" ht="12" customHeight="1" x14ac:dyDescent="0.25">
      <c r="A133" s="171" t="s">
        <v>30</v>
      </c>
      <c r="B133" s="184" t="s">
        <v>66</v>
      </c>
      <c r="C133" s="31" t="s">
        <v>21</v>
      </c>
      <c r="D133" s="32">
        <v>2534.6999999999998</v>
      </c>
      <c r="E133" s="32">
        <v>2534.6999999999998</v>
      </c>
      <c r="F133" s="68">
        <f t="shared" si="1"/>
        <v>100</v>
      </c>
      <c r="G133" s="32"/>
      <c r="H133" s="33">
        <f>D133+D134</f>
        <v>2668.2</v>
      </c>
      <c r="I133" s="34">
        <f>E133+E134</f>
        <v>2668.2</v>
      </c>
      <c r="J133" s="33">
        <f>I133/H133*100</f>
        <v>100</v>
      </c>
    </row>
    <row r="134" spans="1:10" ht="27" customHeight="1" x14ac:dyDescent="0.25">
      <c r="A134" s="172"/>
      <c r="B134" s="185"/>
      <c r="C134" s="31" t="s">
        <v>22</v>
      </c>
      <c r="D134" s="32">
        <v>133.5</v>
      </c>
      <c r="E134" s="32">
        <v>133.5</v>
      </c>
      <c r="F134" s="68">
        <f t="shared" si="1"/>
        <v>100</v>
      </c>
      <c r="G134" s="32"/>
      <c r="H134" s="93"/>
      <c r="I134" s="94"/>
      <c r="J134" s="94"/>
    </row>
    <row r="135" spans="1:10" ht="147.75" customHeight="1" x14ac:dyDescent="0.25">
      <c r="A135" s="173"/>
      <c r="B135" s="80" t="s">
        <v>77</v>
      </c>
      <c r="C135" s="31" t="s">
        <v>22</v>
      </c>
      <c r="D135" s="32">
        <v>2739.8</v>
      </c>
      <c r="E135" s="32">
        <v>2579.6999999999998</v>
      </c>
      <c r="F135" s="68">
        <f t="shared" si="1"/>
        <v>94.156507774290077</v>
      </c>
      <c r="G135" s="32" t="s">
        <v>354</v>
      </c>
      <c r="H135" s="33"/>
      <c r="I135" s="34"/>
    </row>
    <row r="136" spans="1:10" ht="12.75" customHeight="1" x14ac:dyDescent="0.25">
      <c r="A136" s="200" t="s">
        <v>31</v>
      </c>
      <c r="B136" s="171" t="s">
        <v>291</v>
      </c>
      <c r="C136" s="31" t="s">
        <v>21</v>
      </c>
      <c r="D136" s="32">
        <v>3837</v>
      </c>
      <c r="E136" s="32">
        <v>3578.6</v>
      </c>
      <c r="F136" s="68">
        <f>E136/D136*100</f>
        <v>93.26557206150639</v>
      </c>
      <c r="G136" s="174" t="s">
        <v>340</v>
      </c>
      <c r="H136" s="33">
        <f>D136+D137</f>
        <v>4039</v>
      </c>
      <c r="I136" s="34">
        <f>E136+E137</f>
        <v>3780.6</v>
      </c>
      <c r="J136" s="33">
        <f>I136/H136*100</f>
        <v>93.602376825947005</v>
      </c>
    </row>
    <row r="137" spans="1:10" ht="101.25" customHeight="1" x14ac:dyDescent="0.25">
      <c r="A137" s="201"/>
      <c r="B137" s="173"/>
      <c r="C137" s="31" t="s">
        <v>22</v>
      </c>
      <c r="D137" s="32">
        <v>202</v>
      </c>
      <c r="E137" s="32">
        <v>202</v>
      </c>
      <c r="F137" s="68">
        <f>E137/D137*100</f>
        <v>100</v>
      </c>
      <c r="G137" s="175"/>
      <c r="H137" s="33"/>
      <c r="I137" s="34"/>
    </row>
    <row r="138" spans="1:10" ht="111" customHeight="1" x14ac:dyDescent="0.25">
      <c r="A138" s="202"/>
      <c r="B138" s="79" t="s">
        <v>115</v>
      </c>
      <c r="C138" s="73" t="s">
        <v>22</v>
      </c>
      <c r="D138" s="59">
        <f>3330.7-202</f>
        <v>3128.7</v>
      </c>
      <c r="E138" s="59">
        <f>2784.2-202</f>
        <v>2582.1999999999998</v>
      </c>
      <c r="F138" s="70">
        <f>E138/D138*100</f>
        <v>82.532681305334492</v>
      </c>
      <c r="G138" s="32" t="s">
        <v>340</v>
      </c>
      <c r="H138" s="33"/>
      <c r="I138" s="34"/>
    </row>
    <row r="139" spans="1:10" ht="36" x14ac:dyDescent="0.25">
      <c r="A139" s="78" t="s">
        <v>32</v>
      </c>
      <c r="B139" s="82" t="s">
        <v>290</v>
      </c>
      <c r="C139" s="31" t="s">
        <v>22</v>
      </c>
      <c r="D139" s="32">
        <v>2825.5</v>
      </c>
      <c r="E139" s="32">
        <v>2825.5</v>
      </c>
      <c r="F139" s="68">
        <f t="shared" si="1"/>
        <v>100</v>
      </c>
      <c r="G139" s="32"/>
      <c r="H139" s="33"/>
      <c r="I139" s="34"/>
    </row>
    <row r="140" spans="1:10" ht="76.5" customHeight="1" x14ac:dyDescent="0.25">
      <c r="A140" s="171" t="s">
        <v>36</v>
      </c>
      <c r="B140" s="82" t="s">
        <v>142</v>
      </c>
      <c r="C140" s="31" t="s">
        <v>22</v>
      </c>
      <c r="D140" s="32">
        <v>10978.2</v>
      </c>
      <c r="E140" s="32">
        <v>8793.7999999999993</v>
      </c>
      <c r="F140" s="68">
        <f t="shared" si="1"/>
        <v>80.102384726093518</v>
      </c>
      <c r="G140" s="32" t="s">
        <v>394</v>
      </c>
      <c r="H140" s="33"/>
      <c r="I140" s="34"/>
    </row>
    <row r="141" spans="1:10" ht="40.5" customHeight="1" x14ac:dyDescent="0.25">
      <c r="A141" s="173"/>
      <c r="B141" s="82" t="s">
        <v>143</v>
      </c>
      <c r="C141" s="31" t="s">
        <v>22</v>
      </c>
      <c r="D141" s="32">
        <v>2481.9</v>
      </c>
      <c r="E141" s="32">
        <v>2481.9</v>
      </c>
      <c r="F141" s="68">
        <f t="shared" si="1"/>
        <v>100</v>
      </c>
      <c r="G141" s="32"/>
      <c r="H141" s="33"/>
      <c r="I141" s="34"/>
    </row>
    <row r="142" spans="1:10" ht="11.25" customHeight="1" x14ac:dyDescent="0.25">
      <c r="A142" s="194" t="s">
        <v>33</v>
      </c>
      <c r="B142" s="171" t="s">
        <v>292</v>
      </c>
      <c r="C142" s="31" t="s">
        <v>21</v>
      </c>
      <c r="D142" s="32">
        <v>2102.1</v>
      </c>
      <c r="E142" s="32">
        <v>2091</v>
      </c>
      <c r="F142" s="68">
        <f t="shared" si="1"/>
        <v>99.471956614813763</v>
      </c>
      <c r="G142" s="174" t="s">
        <v>340</v>
      </c>
      <c r="H142" s="33">
        <f>D142+D143</f>
        <v>2212.7999999999997</v>
      </c>
      <c r="I142" s="34">
        <f>E142+E143</f>
        <v>2201.6999999999998</v>
      </c>
      <c r="J142" s="33">
        <f>I142/H142*100</f>
        <v>99.498373101952282</v>
      </c>
    </row>
    <row r="143" spans="1:10" ht="98.25" customHeight="1" x14ac:dyDescent="0.25">
      <c r="A143" s="194"/>
      <c r="B143" s="173"/>
      <c r="C143" s="31" t="s">
        <v>22</v>
      </c>
      <c r="D143" s="32">
        <v>110.7</v>
      </c>
      <c r="E143" s="32">
        <v>110.7</v>
      </c>
      <c r="F143" s="68">
        <f>E143/D143*100</f>
        <v>100</v>
      </c>
      <c r="G143" s="175"/>
      <c r="H143" s="33"/>
      <c r="I143" s="34"/>
    </row>
    <row r="144" spans="1:10" ht="153.75" customHeight="1" x14ac:dyDescent="0.25">
      <c r="A144" s="194"/>
      <c r="B144" s="82" t="s">
        <v>167</v>
      </c>
      <c r="C144" s="60" t="s">
        <v>22</v>
      </c>
      <c r="D144" s="60">
        <f>6970.7-110.7</f>
        <v>6860</v>
      </c>
      <c r="E144" s="60">
        <f>6660.2-110.7</f>
        <v>6549.5</v>
      </c>
      <c r="F144" s="68">
        <f>E144/D144*100</f>
        <v>95.4737609329446</v>
      </c>
      <c r="G144" s="32" t="s">
        <v>395</v>
      </c>
      <c r="H144" s="33"/>
      <c r="I144" s="34"/>
    </row>
    <row r="145" spans="1:10" ht="12.75" customHeight="1" x14ac:dyDescent="0.25">
      <c r="A145" s="171" t="s">
        <v>34</v>
      </c>
      <c r="B145" s="184" t="s">
        <v>293</v>
      </c>
      <c r="C145" s="31" t="s">
        <v>21</v>
      </c>
      <c r="D145" s="32">
        <v>16778.7</v>
      </c>
      <c r="E145" s="32">
        <v>14432.3</v>
      </c>
      <c r="F145" s="68">
        <f t="shared" si="1"/>
        <v>86.015603115855214</v>
      </c>
      <c r="G145" s="174" t="s">
        <v>340</v>
      </c>
      <c r="H145" s="33">
        <f>D145+D146</f>
        <v>17661.900000000001</v>
      </c>
      <c r="I145" s="34">
        <f>E145+E146</f>
        <v>15315.5</v>
      </c>
      <c r="J145" s="33">
        <f>I145/H145*100</f>
        <v>86.714906097305487</v>
      </c>
    </row>
    <row r="146" spans="1:10" ht="96" customHeight="1" x14ac:dyDescent="0.25">
      <c r="A146" s="172"/>
      <c r="B146" s="185"/>
      <c r="C146" s="31" t="s">
        <v>22</v>
      </c>
      <c r="D146" s="32">
        <v>883.2</v>
      </c>
      <c r="E146" s="32">
        <v>883.2</v>
      </c>
      <c r="F146" s="68">
        <f t="shared" si="1"/>
        <v>100</v>
      </c>
      <c r="G146" s="175"/>
      <c r="H146" s="33"/>
      <c r="I146" s="34"/>
    </row>
    <row r="147" spans="1:10" ht="111" customHeight="1" x14ac:dyDescent="0.25">
      <c r="A147" s="173"/>
      <c r="B147" s="82" t="s">
        <v>56</v>
      </c>
      <c r="C147" s="31" t="s">
        <v>22</v>
      </c>
      <c r="D147" s="32">
        <v>6301.4</v>
      </c>
      <c r="E147" s="32">
        <v>6081.6</v>
      </c>
      <c r="F147" s="68">
        <f t="shared" si="1"/>
        <v>96.51188624750057</v>
      </c>
      <c r="G147" s="32" t="s">
        <v>396</v>
      </c>
      <c r="H147" s="33"/>
      <c r="I147" s="34"/>
    </row>
    <row r="148" spans="1:10" ht="18.75" customHeight="1" x14ac:dyDescent="0.25">
      <c r="A148" s="171" t="s">
        <v>35</v>
      </c>
      <c r="B148" s="184" t="s">
        <v>321</v>
      </c>
      <c r="C148" s="31" t="s">
        <v>21</v>
      </c>
      <c r="D148" s="32">
        <v>2346.8000000000002</v>
      </c>
      <c r="E148" s="32">
        <v>1752</v>
      </c>
      <c r="F148" s="68">
        <f t="shared" si="1"/>
        <v>74.654849156297928</v>
      </c>
      <c r="G148" s="174" t="s">
        <v>397</v>
      </c>
      <c r="H148" s="33">
        <f>D148+D149</f>
        <v>2470.4</v>
      </c>
      <c r="I148" s="34">
        <f>E148+E149</f>
        <v>1875.6</v>
      </c>
      <c r="J148" s="33">
        <f>I148/H148*100</f>
        <v>75.922927461139892</v>
      </c>
    </row>
    <row r="149" spans="1:10" ht="54.75" customHeight="1" x14ac:dyDescent="0.25">
      <c r="A149" s="172"/>
      <c r="B149" s="185"/>
      <c r="C149" s="31" t="s">
        <v>22</v>
      </c>
      <c r="D149" s="32">
        <v>123.6</v>
      </c>
      <c r="E149" s="32">
        <v>123.6</v>
      </c>
      <c r="F149" s="68">
        <f t="shared" si="1"/>
        <v>100</v>
      </c>
      <c r="G149" s="175"/>
      <c r="H149" s="33"/>
      <c r="I149" s="34"/>
    </row>
    <row r="150" spans="1:10" ht="50.25" customHeight="1" x14ac:dyDescent="0.25">
      <c r="A150" s="172"/>
      <c r="B150" s="80" t="s">
        <v>322</v>
      </c>
      <c r="C150" s="31" t="s">
        <v>22</v>
      </c>
      <c r="D150" s="32">
        <f>8161.7-123.6</f>
        <v>8038.0999999999995</v>
      </c>
      <c r="E150" s="32">
        <f>8043-123.6</f>
        <v>7919.4</v>
      </c>
      <c r="F150" s="68">
        <f t="shared" si="1"/>
        <v>98.52328286535375</v>
      </c>
      <c r="G150" s="32" t="s">
        <v>328</v>
      </c>
      <c r="H150" s="33"/>
      <c r="I150" s="34"/>
    </row>
    <row r="151" spans="1:10" ht="39" customHeight="1" x14ac:dyDescent="0.25">
      <c r="A151" s="173"/>
      <c r="B151" s="80" t="s">
        <v>180</v>
      </c>
      <c r="C151" s="31" t="s">
        <v>22</v>
      </c>
      <c r="D151" s="32">
        <v>3707.8</v>
      </c>
      <c r="E151" s="32">
        <v>3171</v>
      </c>
      <c r="F151" s="68">
        <f t="shared" si="1"/>
        <v>85.522412212093428</v>
      </c>
      <c r="G151" s="32" t="s">
        <v>388</v>
      </c>
      <c r="H151" s="33"/>
      <c r="I151" s="34"/>
    </row>
    <row r="152" spans="1:10" ht="15" customHeight="1" x14ac:dyDescent="0.25">
      <c r="A152" s="171" t="s">
        <v>37</v>
      </c>
      <c r="B152" s="171" t="s">
        <v>372</v>
      </c>
      <c r="C152" s="31" t="s">
        <v>21</v>
      </c>
      <c r="D152" s="32">
        <v>10391.9</v>
      </c>
      <c r="E152" s="32">
        <v>6954.95</v>
      </c>
      <c r="F152" s="68">
        <f t="shared" si="1"/>
        <v>66.926644790654251</v>
      </c>
      <c r="G152" s="174" t="s">
        <v>341</v>
      </c>
      <c r="H152" s="33">
        <f>D152+D153</f>
        <v>13091.9</v>
      </c>
      <c r="I152" s="34">
        <f>E152+E153</f>
        <v>9654.9500000000007</v>
      </c>
      <c r="J152" s="33">
        <f>I152/H152*100</f>
        <v>73.747508001130484</v>
      </c>
    </row>
    <row r="153" spans="1:10" ht="70.5" customHeight="1" x14ac:dyDescent="0.25">
      <c r="A153" s="172"/>
      <c r="B153" s="173"/>
      <c r="C153" s="31" t="s">
        <v>22</v>
      </c>
      <c r="D153" s="32">
        <v>2700</v>
      </c>
      <c r="E153" s="32">
        <v>2700</v>
      </c>
      <c r="F153" s="68">
        <f t="shared" si="1"/>
        <v>100</v>
      </c>
      <c r="G153" s="175"/>
      <c r="H153" s="33"/>
      <c r="I153" s="34"/>
    </row>
    <row r="154" spans="1:10" ht="52.5" customHeight="1" x14ac:dyDescent="0.25">
      <c r="A154" s="172"/>
      <c r="B154" s="76" t="s">
        <v>373</v>
      </c>
      <c r="C154" s="31" t="s">
        <v>22</v>
      </c>
      <c r="D154" s="32">
        <v>5752.79</v>
      </c>
      <c r="E154" s="32">
        <v>5752.8</v>
      </c>
      <c r="F154" s="68">
        <f t="shared" si="1"/>
        <v>100.00017382869876</v>
      </c>
      <c r="G154" s="32"/>
      <c r="H154" s="33"/>
      <c r="I154" s="34"/>
    </row>
    <row r="155" spans="1:10" ht="37.5" customHeight="1" x14ac:dyDescent="0.25">
      <c r="A155" s="173"/>
      <c r="B155" s="133" t="s">
        <v>374</v>
      </c>
      <c r="C155" s="31" t="s">
        <v>22</v>
      </c>
      <c r="D155" s="32">
        <v>99.7</v>
      </c>
      <c r="E155" s="32">
        <v>99.7</v>
      </c>
      <c r="F155" s="68">
        <f t="shared" ref="F155" si="5">E155/D155*100</f>
        <v>100</v>
      </c>
      <c r="G155" s="86"/>
      <c r="H155" s="33"/>
      <c r="I155" s="34"/>
    </row>
    <row r="156" spans="1:10" ht="15" customHeight="1" x14ac:dyDescent="0.25">
      <c r="A156" s="171" t="s">
        <v>38</v>
      </c>
      <c r="B156" s="171" t="s">
        <v>297</v>
      </c>
      <c r="C156" s="31" t="s">
        <v>21</v>
      </c>
      <c r="D156" s="32">
        <v>4843.8999999999996</v>
      </c>
      <c r="E156" s="32">
        <v>4399.1400000000003</v>
      </c>
      <c r="F156" s="68">
        <f t="shared" si="1"/>
        <v>90.81814240591261</v>
      </c>
      <c r="G156" s="174" t="s">
        <v>340</v>
      </c>
      <c r="H156" s="33">
        <f>D156+D157</f>
        <v>5098.8999999999996</v>
      </c>
      <c r="I156" s="34">
        <f>E156+E157</f>
        <v>4654.1400000000003</v>
      </c>
      <c r="J156" s="33">
        <f>I156/H156*100</f>
        <v>91.277334327011715</v>
      </c>
    </row>
    <row r="157" spans="1:10" ht="95.25" customHeight="1" x14ac:dyDescent="0.25">
      <c r="A157" s="172"/>
      <c r="B157" s="173"/>
      <c r="C157" s="31" t="s">
        <v>22</v>
      </c>
      <c r="D157" s="32">
        <v>255</v>
      </c>
      <c r="E157" s="32">
        <v>255</v>
      </c>
      <c r="F157" s="68">
        <f t="shared" si="1"/>
        <v>100</v>
      </c>
      <c r="G157" s="175"/>
      <c r="H157" s="33"/>
      <c r="I157" s="34"/>
    </row>
    <row r="158" spans="1:10" ht="170.25" customHeight="1" x14ac:dyDescent="0.25">
      <c r="A158" s="173"/>
      <c r="B158" s="77" t="s">
        <v>213</v>
      </c>
      <c r="C158" s="31" t="s">
        <v>22</v>
      </c>
      <c r="D158" s="32">
        <f>9152.8-255</f>
        <v>8897.7999999999993</v>
      </c>
      <c r="E158" s="32">
        <f>8882.8-255</f>
        <v>8627.7999999999993</v>
      </c>
      <c r="F158" s="68">
        <f t="shared" si="1"/>
        <v>96.9655420441008</v>
      </c>
      <c r="G158" s="32" t="s">
        <v>342</v>
      </c>
      <c r="H158" s="33"/>
      <c r="I158" s="34"/>
    </row>
    <row r="159" spans="1:10" ht="66" customHeight="1" x14ac:dyDescent="0.25">
      <c r="A159" s="78" t="s">
        <v>39</v>
      </c>
      <c r="B159" s="82" t="s">
        <v>235</v>
      </c>
      <c r="C159" s="31" t="s">
        <v>22</v>
      </c>
      <c r="D159" s="32">
        <v>98242.1</v>
      </c>
      <c r="E159" s="32">
        <v>66575.100000000006</v>
      </c>
      <c r="F159" s="68">
        <f t="shared" si="1"/>
        <v>67.766364929088454</v>
      </c>
      <c r="G159" s="32" t="s">
        <v>377</v>
      </c>
      <c r="H159" s="33"/>
      <c r="I159" s="34"/>
    </row>
    <row r="160" spans="1:10" ht="15" customHeight="1" x14ac:dyDescent="0.25">
      <c r="A160" s="171" t="s">
        <v>40</v>
      </c>
      <c r="B160" s="171" t="s">
        <v>294</v>
      </c>
      <c r="C160" s="31" t="s">
        <v>21</v>
      </c>
      <c r="D160" s="32">
        <v>39173</v>
      </c>
      <c r="E160" s="32">
        <v>35824.21</v>
      </c>
      <c r="F160" s="68">
        <f t="shared" si="1"/>
        <v>91.451280218517851</v>
      </c>
      <c r="G160" s="174" t="s">
        <v>371</v>
      </c>
      <c r="H160" s="33">
        <f>D160+D161</f>
        <v>41265.4</v>
      </c>
      <c r="I160" s="34">
        <f>E160+E161</f>
        <v>37916.589999999997</v>
      </c>
      <c r="J160" s="33">
        <f>I160/H160*100</f>
        <v>91.884702438362396</v>
      </c>
    </row>
    <row r="161" spans="1:10" ht="46.5" customHeight="1" x14ac:dyDescent="0.25">
      <c r="A161" s="172"/>
      <c r="B161" s="173"/>
      <c r="C161" s="31" t="s">
        <v>22</v>
      </c>
      <c r="D161" s="32">
        <v>2092.4</v>
      </c>
      <c r="E161" s="32">
        <v>2092.38</v>
      </c>
      <c r="F161" s="68">
        <f t="shared" si="1"/>
        <v>99.999044159816478</v>
      </c>
      <c r="G161" s="175"/>
      <c r="H161" s="33"/>
      <c r="I161" s="34"/>
    </row>
    <row r="162" spans="1:10" ht="41.25" customHeight="1" x14ac:dyDescent="0.25">
      <c r="A162" s="172"/>
      <c r="B162" s="77" t="s">
        <v>263</v>
      </c>
      <c r="C162" s="31" t="s">
        <v>22</v>
      </c>
      <c r="D162" s="32">
        <f>41830.9-2092.4</f>
        <v>39738.5</v>
      </c>
      <c r="E162" s="32">
        <f>39286.4-2092.4</f>
        <v>37194</v>
      </c>
      <c r="F162" s="68">
        <f t="shared" si="1"/>
        <v>93.596889666192737</v>
      </c>
      <c r="G162" s="32" t="s">
        <v>371</v>
      </c>
      <c r="H162" s="33"/>
      <c r="I162" s="34"/>
    </row>
    <row r="163" spans="1:10" ht="42" customHeight="1" x14ac:dyDescent="0.25">
      <c r="A163" s="173"/>
      <c r="B163" s="78" t="s">
        <v>262</v>
      </c>
      <c r="C163" s="31" t="s">
        <v>22</v>
      </c>
      <c r="D163" s="32">
        <v>4856.8999999999996</v>
      </c>
      <c r="E163" s="32">
        <v>4856.8</v>
      </c>
      <c r="F163" s="68">
        <f t="shared" si="1"/>
        <v>99.997941073524274</v>
      </c>
      <c r="G163" s="32"/>
      <c r="H163" s="33"/>
      <c r="I163" s="34"/>
    </row>
    <row r="164" spans="1:10" ht="11.25" customHeight="1" x14ac:dyDescent="0.25">
      <c r="A164" s="181" t="s">
        <v>41</v>
      </c>
      <c r="B164" s="184" t="s">
        <v>295</v>
      </c>
      <c r="C164" s="31" t="s">
        <v>21</v>
      </c>
      <c r="D164" s="32">
        <v>2726.8</v>
      </c>
      <c r="E164" s="32">
        <v>2712.4</v>
      </c>
      <c r="F164" s="68">
        <f t="shared" si="1"/>
        <v>99.47190846413379</v>
      </c>
      <c r="G164" s="174" t="s">
        <v>388</v>
      </c>
      <c r="H164" s="33">
        <f>D164+D165</f>
        <v>2870.4</v>
      </c>
      <c r="I164" s="34">
        <f>E164+E165</f>
        <v>2856</v>
      </c>
      <c r="J164" s="33">
        <f>I164/H164*100</f>
        <v>99.498327759197323</v>
      </c>
    </row>
    <row r="165" spans="1:10" ht="60.75" customHeight="1" x14ac:dyDescent="0.25">
      <c r="A165" s="182"/>
      <c r="B165" s="185"/>
      <c r="C165" s="31" t="s">
        <v>22</v>
      </c>
      <c r="D165" s="32">
        <v>143.6</v>
      </c>
      <c r="E165" s="32">
        <v>143.6</v>
      </c>
      <c r="F165" s="68">
        <f t="shared" si="1"/>
        <v>100</v>
      </c>
      <c r="G165" s="175"/>
      <c r="H165" s="33"/>
      <c r="I165" s="34"/>
    </row>
    <row r="166" spans="1:10" ht="111" customHeight="1" x14ac:dyDescent="0.25">
      <c r="A166" s="182"/>
      <c r="B166" s="80" t="s">
        <v>98</v>
      </c>
      <c r="C166" s="31" t="s">
        <v>22</v>
      </c>
      <c r="D166" s="32">
        <f>4542.3-143.6</f>
        <v>4398.7</v>
      </c>
      <c r="E166" s="32">
        <f>4534-143.6</f>
        <v>4390.3999999999996</v>
      </c>
      <c r="F166" s="68">
        <f t="shared" si="1"/>
        <v>99.811307886420991</v>
      </c>
      <c r="G166" s="32" t="s">
        <v>340</v>
      </c>
      <c r="H166" s="33"/>
      <c r="I166" s="34"/>
    </row>
    <row r="167" spans="1:10" ht="38.25" customHeight="1" x14ac:dyDescent="0.25">
      <c r="A167" s="183"/>
      <c r="B167" s="82" t="s">
        <v>99</v>
      </c>
      <c r="C167" s="31" t="s">
        <v>22</v>
      </c>
      <c r="D167" s="32">
        <v>1868.6</v>
      </c>
      <c r="E167" s="32">
        <v>1868.6</v>
      </c>
      <c r="F167" s="68">
        <f t="shared" si="1"/>
        <v>100</v>
      </c>
      <c r="G167" s="32"/>
      <c r="H167" s="33"/>
      <c r="I167" s="34"/>
    </row>
    <row r="168" spans="1:10" ht="12" customHeight="1" x14ac:dyDescent="0.25">
      <c r="A168" s="176" t="s">
        <v>203</v>
      </c>
      <c r="B168" s="176"/>
      <c r="C168" s="39" t="s">
        <v>296</v>
      </c>
      <c r="D168" s="40">
        <f>SUM(D133:D167)</f>
        <v>302295.39</v>
      </c>
      <c r="E168" s="40">
        <f>SUM(E133:E167)</f>
        <v>253273.08</v>
      </c>
      <c r="F168" s="69">
        <f>E168/D168*100</f>
        <v>83.783308769611068</v>
      </c>
      <c r="G168" s="40"/>
      <c r="H168" s="33"/>
      <c r="I168" s="34"/>
    </row>
    <row r="169" spans="1:10" ht="12" customHeight="1" x14ac:dyDescent="0.25">
      <c r="A169" s="176"/>
      <c r="B169" s="176"/>
      <c r="C169" s="39" t="s">
        <v>21</v>
      </c>
      <c r="D169" s="40">
        <f>D133+D136+D142+D145+D148+D152+D156+D160+D164</f>
        <v>84734.900000000009</v>
      </c>
      <c r="E169" s="40">
        <f>E133+E136+E142+E145+E148+E152+E156+E160+E164</f>
        <v>74279.299999999988</v>
      </c>
      <c r="F169" s="69">
        <f>E169/D169*100</f>
        <v>87.660810362672265</v>
      </c>
      <c r="G169" s="40"/>
      <c r="H169" s="33"/>
      <c r="I169" s="34"/>
    </row>
    <row r="170" spans="1:10" ht="12" customHeight="1" x14ac:dyDescent="0.25">
      <c r="A170" s="176"/>
      <c r="B170" s="176"/>
      <c r="C170" s="39" t="s">
        <v>22</v>
      </c>
      <c r="D170" s="40">
        <f>D134+D135+D137+D138+D139+D140+D141+D143+D144+D146+D147+D149+D150+D151+D153+D154+D157+D158+D159+D161+D162+D163+D165+D166+D167</f>
        <v>217460.79000000004</v>
      </c>
      <c r="E170" s="40">
        <f>E134+E135+E137+E138+E139+E140+E141+E143+E144+E146+E147+E149+E150+E151+E153+E154+E157+E158+E159+E161+E162+E163+E165+E166+E167+E155</f>
        <v>178993.78</v>
      </c>
      <c r="F170" s="69">
        <f>E170/D170*100</f>
        <v>82.310829460336265</v>
      </c>
      <c r="G170" s="40"/>
      <c r="H170" s="33"/>
      <c r="I170" s="34"/>
    </row>
    <row r="171" spans="1:10" ht="12" customHeight="1" x14ac:dyDescent="0.25">
      <c r="A171" s="177" t="s">
        <v>88</v>
      </c>
      <c r="B171" s="178"/>
      <c r="C171" s="178"/>
      <c r="D171" s="178"/>
      <c r="E171" s="178"/>
      <c r="F171" s="178"/>
      <c r="G171" s="179"/>
      <c r="H171" s="33"/>
      <c r="I171" s="34"/>
    </row>
    <row r="172" spans="1:10" ht="37.5" customHeight="1" x14ac:dyDescent="0.25">
      <c r="A172" s="78" t="s">
        <v>30</v>
      </c>
      <c r="B172" s="82" t="s">
        <v>72</v>
      </c>
      <c r="C172" s="31" t="s">
        <v>22</v>
      </c>
      <c r="D172" s="32">
        <v>4.7</v>
      </c>
      <c r="E172" s="32">
        <v>4.7</v>
      </c>
      <c r="F172" s="68">
        <f t="shared" ref="F172:F183" si="6">E172/D172*100</f>
        <v>100</v>
      </c>
      <c r="G172" s="32"/>
      <c r="H172" s="33"/>
      <c r="I172" s="34"/>
    </row>
    <row r="173" spans="1:10" ht="48" customHeight="1" x14ac:dyDescent="0.25">
      <c r="A173" s="78" t="s">
        <v>31</v>
      </c>
      <c r="B173" s="82" t="s">
        <v>116</v>
      </c>
      <c r="C173" s="31" t="s">
        <v>22</v>
      </c>
      <c r="D173" s="32">
        <v>0</v>
      </c>
      <c r="E173" s="32">
        <v>0</v>
      </c>
      <c r="F173" s="68" t="e">
        <f t="shared" si="6"/>
        <v>#DIV/0!</v>
      </c>
      <c r="G173" s="32" t="s">
        <v>343</v>
      </c>
      <c r="H173" s="33"/>
      <c r="I173" s="34"/>
    </row>
    <row r="174" spans="1:10" ht="40.5" customHeight="1" x14ac:dyDescent="0.25">
      <c r="A174" s="78" t="s">
        <v>32</v>
      </c>
      <c r="B174" s="82" t="s">
        <v>125</v>
      </c>
      <c r="C174" s="31" t="s">
        <v>22</v>
      </c>
      <c r="D174" s="32">
        <v>5.3</v>
      </c>
      <c r="E174" s="32">
        <v>5.3</v>
      </c>
      <c r="F174" s="68">
        <f t="shared" si="6"/>
        <v>100</v>
      </c>
      <c r="G174" s="32"/>
      <c r="H174" s="33"/>
      <c r="I174" s="34"/>
    </row>
    <row r="175" spans="1:10" ht="40.5" customHeight="1" x14ac:dyDescent="0.25">
      <c r="A175" s="78" t="s">
        <v>36</v>
      </c>
      <c r="B175" s="82" t="s">
        <v>144</v>
      </c>
      <c r="C175" s="31" t="s">
        <v>22</v>
      </c>
      <c r="D175" s="32">
        <v>20</v>
      </c>
      <c r="E175" s="32">
        <v>20</v>
      </c>
      <c r="F175" s="68">
        <f t="shared" si="6"/>
        <v>100</v>
      </c>
      <c r="G175" s="32"/>
      <c r="H175" s="33"/>
      <c r="I175" s="34"/>
    </row>
    <row r="176" spans="1:10" ht="15" hidden="1" customHeight="1" x14ac:dyDescent="0.25">
      <c r="A176" s="78" t="s">
        <v>33</v>
      </c>
      <c r="B176" s="82"/>
      <c r="C176" s="31"/>
      <c r="D176" s="32">
        <v>0</v>
      </c>
      <c r="E176" s="32">
        <v>0</v>
      </c>
      <c r="F176" s="68" t="e">
        <f t="shared" si="6"/>
        <v>#DIV/0!</v>
      </c>
      <c r="G176" s="32"/>
      <c r="H176" s="33"/>
      <c r="I176" s="34"/>
    </row>
    <row r="177" spans="1:9" ht="37.5" customHeight="1" x14ac:dyDescent="0.25">
      <c r="A177" s="78" t="s">
        <v>34</v>
      </c>
      <c r="B177" s="82" t="s">
        <v>57</v>
      </c>
      <c r="C177" s="31" t="s">
        <v>22</v>
      </c>
      <c r="D177" s="32">
        <v>2</v>
      </c>
      <c r="E177" s="32">
        <v>0</v>
      </c>
      <c r="F177" s="68">
        <f t="shared" si="6"/>
        <v>0</v>
      </c>
      <c r="G177" s="32" t="s">
        <v>355</v>
      </c>
      <c r="H177" s="33"/>
      <c r="I177" s="34"/>
    </row>
    <row r="178" spans="1:9" ht="39" customHeight="1" x14ac:dyDescent="0.25">
      <c r="A178" s="78" t="s">
        <v>35</v>
      </c>
      <c r="B178" s="82" t="s">
        <v>181</v>
      </c>
      <c r="C178" s="31" t="s">
        <v>22</v>
      </c>
      <c r="D178" s="32">
        <v>4.8</v>
      </c>
      <c r="E178" s="32">
        <v>4.8</v>
      </c>
      <c r="F178" s="68">
        <f t="shared" si="6"/>
        <v>100</v>
      </c>
      <c r="G178" s="32"/>
      <c r="H178" s="33"/>
      <c r="I178" s="34"/>
    </row>
    <row r="179" spans="1:9" ht="39" customHeight="1" x14ac:dyDescent="0.25">
      <c r="A179" s="78" t="s">
        <v>37</v>
      </c>
      <c r="B179" s="82" t="s">
        <v>195</v>
      </c>
      <c r="C179" s="31" t="s">
        <v>22</v>
      </c>
      <c r="D179" s="32">
        <v>4</v>
      </c>
      <c r="E179" s="32">
        <v>4</v>
      </c>
      <c r="F179" s="68">
        <f t="shared" si="6"/>
        <v>100</v>
      </c>
      <c r="G179" s="32"/>
      <c r="H179" s="33"/>
      <c r="I179" s="34"/>
    </row>
    <row r="180" spans="1:9" ht="36" customHeight="1" x14ac:dyDescent="0.25">
      <c r="A180" s="78" t="s">
        <v>38</v>
      </c>
      <c r="B180" s="82" t="s">
        <v>215</v>
      </c>
      <c r="C180" s="31" t="s">
        <v>22</v>
      </c>
      <c r="D180" s="32">
        <v>10</v>
      </c>
      <c r="E180" s="32">
        <v>10</v>
      </c>
      <c r="F180" s="68">
        <f t="shared" si="6"/>
        <v>100</v>
      </c>
      <c r="G180" s="32"/>
      <c r="H180" s="33"/>
      <c r="I180" s="34"/>
    </row>
    <row r="181" spans="1:9" ht="156" x14ac:dyDescent="0.25">
      <c r="A181" s="78" t="s">
        <v>39</v>
      </c>
      <c r="B181" s="82" t="s">
        <v>236</v>
      </c>
      <c r="C181" s="31" t="s">
        <v>22</v>
      </c>
      <c r="D181" s="32">
        <v>715</v>
      </c>
      <c r="E181" s="32">
        <v>9.9600000000000009</v>
      </c>
      <c r="F181" s="68">
        <f t="shared" si="6"/>
        <v>1.393006993006993</v>
      </c>
      <c r="G181" s="32" t="s">
        <v>329</v>
      </c>
      <c r="H181" s="33"/>
      <c r="I181" s="34"/>
    </row>
    <row r="182" spans="1:9" ht="39.75" customHeight="1" x14ac:dyDescent="0.25">
      <c r="A182" s="78" t="s">
        <v>40</v>
      </c>
      <c r="B182" s="82" t="s">
        <v>265</v>
      </c>
      <c r="C182" s="31" t="s">
        <v>22</v>
      </c>
      <c r="D182" s="32">
        <v>20.8</v>
      </c>
      <c r="E182" s="32">
        <v>20.8</v>
      </c>
      <c r="F182" s="68">
        <f t="shared" si="6"/>
        <v>100</v>
      </c>
      <c r="G182" s="32"/>
      <c r="H182" s="33"/>
      <c r="I182" s="34"/>
    </row>
    <row r="183" spans="1:9" ht="53.25" customHeight="1" x14ac:dyDescent="0.25">
      <c r="A183" s="78" t="s">
        <v>41</v>
      </c>
      <c r="B183" s="82" t="s">
        <v>100</v>
      </c>
      <c r="C183" s="31" t="s">
        <v>22</v>
      </c>
      <c r="D183" s="32">
        <v>2</v>
      </c>
      <c r="E183" s="32">
        <v>2</v>
      </c>
      <c r="F183" s="68">
        <f t="shared" si="6"/>
        <v>100</v>
      </c>
      <c r="G183" s="32"/>
      <c r="H183" s="33"/>
      <c r="I183" s="34"/>
    </row>
    <row r="184" spans="1:9" ht="12" customHeight="1" x14ac:dyDescent="0.25">
      <c r="A184" s="176" t="s">
        <v>203</v>
      </c>
      <c r="B184" s="176"/>
      <c r="C184" s="39" t="s">
        <v>296</v>
      </c>
      <c r="D184" s="40">
        <f>SUM(D172:D183)</f>
        <v>788.59999999999991</v>
      </c>
      <c r="E184" s="40">
        <f>SUM(E172:E183)</f>
        <v>81.56</v>
      </c>
      <c r="F184" s="69">
        <f>E184/D184*100</f>
        <v>10.342378899315245</v>
      </c>
      <c r="G184" s="40"/>
      <c r="H184" s="33"/>
      <c r="I184" s="34"/>
    </row>
    <row r="185" spans="1:9" ht="12" customHeight="1" x14ac:dyDescent="0.25">
      <c r="A185" s="176"/>
      <c r="B185" s="176"/>
      <c r="C185" s="39" t="s">
        <v>22</v>
      </c>
      <c r="D185" s="40">
        <f>D172+D173+D174+D175+D176+D177+D178+D179+D180+D181+D182+D183</f>
        <v>788.59999999999991</v>
      </c>
      <c r="E185" s="40">
        <f>E172+E173+E174+E175+E176+E177+E178+E179+E180+E181+E182+E183</f>
        <v>81.56</v>
      </c>
      <c r="F185" s="69">
        <f>E185/D185*100</f>
        <v>10.342378899315245</v>
      </c>
      <c r="G185" s="40"/>
      <c r="H185" s="33"/>
      <c r="I185" s="34"/>
    </row>
    <row r="186" spans="1:9" ht="12" customHeight="1" x14ac:dyDescent="0.25">
      <c r="A186" s="177" t="s">
        <v>405</v>
      </c>
      <c r="B186" s="178"/>
      <c r="C186" s="178"/>
      <c r="D186" s="178"/>
      <c r="E186" s="178"/>
      <c r="F186" s="178"/>
      <c r="G186" s="179"/>
      <c r="H186" s="33"/>
      <c r="I186" s="34"/>
    </row>
    <row r="187" spans="1:9" ht="38.25" customHeight="1" x14ac:dyDescent="0.25">
      <c r="A187" s="78" t="s">
        <v>30</v>
      </c>
      <c r="B187" s="82" t="s">
        <v>76</v>
      </c>
      <c r="C187" s="31" t="s">
        <v>22</v>
      </c>
      <c r="D187" s="32">
        <v>13079.7</v>
      </c>
      <c r="E187" s="32">
        <v>13079.7</v>
      </c>
      <c r="F187" s="68">
        <f t="shared" ref="F187:F212" si="7">E187/D187*100</f>
        <v>100</v>
      </c>
      <c r="G187" s="32"/>
      <c r="H187" s="33"/>
      <c r="I187" s="34"/>
    </row>
    <row r="188" spans="1:9" ht="110.25" customHeight="1" x14ac:dyDescent="0.25">
      <c r="A188" s="77" t="s">
        <v>31</v>
      </c>
      <c r="B188" s="80" t="s">
        <v>283</v>
      </c>
      <c r="C188" s="31" t="s">
        <v>22</v>
      </c>
      <c r="D188" s="32">
        <v>7021.9</v>
      </c>
      <c r="E188" s="32">
        <v>6831.2</v>
      </c>
      <c r="F188" s="68">
        <f t="shared" si="7"/>
        <v>97.28421082612968</v>
      </c>
      <c r="G188" s="32" t="s">
        <v>340</v>
      </c>
      <c r="H188" s="33"/>
      <c r="I188" s="34"/>
    </row>
    <row r="189" spans="1:9" ht="48" customHeight="1" x14ac:dyDescent="0.25">
      <c r="A189" s="78" t="s">
        <v>32</v>
      </c>
      <c r="B189" s="82" t="s">
        <v>128</v>
      </c>
      <c r="C189" s="31" t="s">
        <v>22</v>
      </c>
      <c r="D189" s="32">
        <v>20945.3</v>
      </c>
      <c r="E189" s="32">
        <v>20913.3</v>
      </c>
      <c r="F189" s="68">
        <f t="shared" si="7"/>
        <v>99.847221094947315</v>
      </c>
      <c r="G189" s="32" t="s">
        <v>356</v>
      </c>
      <c r="H189" s="33"/>
      <c r="I189" s="34"/>
    </row>
    <row r="190" spans="1:9" ht="87" customHeight="1" x14ac:dyDescent="0.25">
      <c r="A190" s="171" t="s">
        <v>36</v>
      </c>
      <c r="B190" s="82" t="s">
        <v>146</v>
      </c>
      <c r="C190" s="31" t="s">
        <v>22</v>
      </c>
      <c r="D190" s="32">
        <v>9885.5</v>
      </c>
      <c r="E190" s="32">
        <v>7784.1</v>
      </c>
      <c r="F190" s="32">
        <f t="shared" si="7"/>
        <v>78.742602802083866</v>
      </c>
      <c r="G190" s="32" t="s">
        <v>369</v>
      </c>
      <c r="H190" s="33"/>
      <c r="I190" s="34"/>
    </row>
    <row r="191" spans="1:9" ht="39" customHeight="1" x14ac:dyDescent="0.25">
      <c r="A191" s="173"/>
      <c r="B191" s="82" t="s">
        <v>147</v>
      </c>
      <c r="C191" s="31" t="s">
        <v>22</v>
      </c>
      <c r="D191" s="32">
        <v>202.9</v>
      </c>
      <c r="E191" s="32">
        <v>202.9</v>
      </c>
      <c r="F191" s="68">
        <f t="shared" si="7"/>
        <v>100</v>
      </c>
      <c r="G191" s="32"/>
      <c r="H191" s="33"/>
      <c r="I191" s="34"/>
    </row>
    <row r="192" spans="1:9" ht="15" customHeight="1" x14ac:dyDescent="0.25">
      <c r="A192" s="171" t="s">
        <v>33</v>
      </c>
      <c r="B192" s="184" t="s">
        <v>323</v>
      </c>
      <c r="C192" s="31" t="s">
        <v>21</v>
      </c>
      <c r="D192" s="32">
        <v>2170.8000000000002</v>
      </c>
      <c r="E192" s="32">
        <v>2170.8000000000002</v>
      </c>
      <c r="F192" s="68">
        <f t="shared" si="7"/>
        <v>100</v>
      </c>
      <c r="G192" s="32"/>
      <c r="H192" s="33"/>
      <c r="I192" s="34"/>
    </row>
    <row r="193" spans="1:10" ht="45" customHeight="1" x14ac:dyDescent="0.25">
      <c r="A193" s="172"/>
      <c r="B193" s="185"/>
      <c r="C193" s="31" t="s">
        <v>22</v>
      </c>
      <c r="D193" s="32">
        <v>930.9</v>
      </c>
      <c r="E193" s="32">
        <v>930.9</v>
      </c>
      <c r="F193" s="68">
        <f t="shared" si="7"/>
        <v>100</v>
      </c>
      <c r="G193" s="32"/>
      <c r="H193" s="33"/>
      <c r="I193" s="34"/>
    </row>
    <row r="194" spans="1:10" x14ac:dyDescent="0.25">
      <c r="A194" s="172"/>
      <c r="B194" s="184" t="s">
        <v>324</v>
      </c>
      <c r="C194" s="31" t="s">
        <v>21</v>
      </c>
      <c r="D194" s="32">
        <v>2648</v>
      </c>
      <c r="E194" s="32">
        <v>2625.9</v>
      </c>
      <c r="F194" s="68">
        <f t="shared" ref="F194:F196" si="8">E194/D194*100</f>
        <v>99.165407854984906</v>
      </c>
      <c r="G194" s="174" t="s">
        <v>340</v>
      </c>
      <c r="H194" s="33">
        <f>D194+D195</f>
        <v>3027</v>
      </c>
      <c r="I194" s="34">
        <f>E194+E195</f>
        <v>3004.9</v>
      </c>
      <c r="J194" s="33">
        <f>I194/H194*100</f>
        <v>99.269904195573176</v>
      </c>
    </row>
    <row r="195" spans="1:10" ht="99.75" customHeight="1" x14ac:dyDescent="0.25">
      <c r="A195" s="172"/>
      <c r="B195" s="185"/>
      <c r="C195" s="31" t="s">
        <v>22</v>
      </c>
      <c r="D195" s="32">
        <v>379</v>
      </c>
      <c r="E195" s="32">
        <v>379</v>
      </c>
      <c r="F195" s="68">
        <f t="shared" si="8"/>
        <v>100</v>
      </c>
      <c r="G195" s="175"/>
      <c r="H195" s="33"/>
      <c r="I195" s="34"/>
    </row>
    <row r="196" spans="1:10" ht="99" customHeight="1" x14ac:dyDescent="0.25">
      <c r="A196" s="172"/>
      <c r="B196" s="82" t="s">
        <v>298</v>
      </c>
      <c r="C196" s="31" t="s">
        <v>22</v>
      </c>
      <c r="D196" s="32">
        <f>3922.7-D193-D195</f>
        <v>2612.7999999999997</v>
      </c>
      <c r="E196" s="32">
        <v>1938.8</v>
      </c>
      <c r="F196" s="68">
        <f t="shared" si="8"/>
        <v>74.203919167176977</v>
      </c>
      <c r="G196" s="32" t="s">
        <v>398</v>
      </c>
      <c r="H196" s="33"/>
      <c r="I196" s="34"/>
    </row>
    <row r="197" spans="1:10" ht="53.25" customHeight="1" x14ac:dyDescent="0.25">
      <c r="A197" s="173"/>
      <c r="B197" s="82" t="s">
        <v>166</v>
      </c>
      <c r="C197" s="31" t="s">
        <v>22</v>
      </c>
      <c r="D197" s="32">
        <v>4360.1000000000004</v>
      </c>
      <c r="E197" s="32">
        <v>4255.1000000000004</v>
      </c>
      <c r="F197" s="68">
        <f t="shared" si="7"/>
        <v>97.591798353248777</v>
      </c>
      <c r="G197" s="32" t="s">
        <v>356</v>
      </c>
      <c r="H197" s="33"/>
      <c r="I197" s="34"/>
    </row>
    <row r="198" spans="1:10" ht="99" customHeight="1" x14ac:dyDescent="0.25">
      <c r="A198" s="171" t="s">
        <v>34</v>
      </c>
      <c r="B198" s="184" t="s">
        <v>60</v>
      </c>
      <c r="C198" s="31" t="s">
        <v>21</v>
      </c>
      <c r="D198" s="32">
        <v>400</v>
      </c>
      <c r="E198" s="32">
        <v>399.6</v>
      </c>
      <c r="F198" s="68">
        <f t="shared" si="7"/>
        <v>99.9</v>
      </c>
      <c r="G198" s="32" t="s">
        <v>378</v>
      </c>
      <c r="H198" s="33">
        <f>D198+D199</f>
        <v>3668.6</v>
      </c>
      <c r="I198" s="34">
        <f>E198+E199</f>
        <v>3285.6</v>
      </c>
      <c r="J198" s="33">
        <f>I198/H198*100</f>
        <v>89.560050155372622</v>
      </c>
    </row>
    <row r="199" spans="1:10" ht="55.5" customHeight="1" x14ac:dyDescent="0.25">
      <c r="A199" s="173"/>
      <c r="B199" s="185"/>
      <c r="C199" s="31" t="s">
        <v>22</v>
      </c>
      <c r="D199" s="32">
        <v>3268.6</v>
      </c>
      <c r="E199" s="32">
        <v>2886</v>
      </c>
      <c r="F199" s="68">
        <f t="shared" si="7"/>
        <v>88.294682738787259</v>
      </c>
      <c r="G199" s="32" t="s">
        <v>357</v>
      </c>
      <c r="H199" s="33"/>
      <c r="I199" s="34"/>
    </row>
    <row r="200" spans="1:10" ht="51" customHeight="1" x14ac:dyDescent="0.25">
      <c r="A200" s="78" t="s">
        <v>35</v>
      </c>
      <c r="B200" s="82" t="s">
        <v>183</v>
      </c>
      <c r="C200" s="31" t="s">
        <v>22</v>
      </c>
      <c r="D200" s="32">
        <v>3169</v>
      </c>
      <c r="E200" s="32">
        <v>3109</v>
      </c>
      <c r="F200" s="68">
        <f t="shared" si="7"/>
        <v>98.106658251814451</v>
      </c>
      <c r="G200" s="32" t="s">
        <v>356</v>
      </c>
      <c r="H200" s="33"/>
      <c r="I200" s="34"/>
    </row>
    <row r="201" spans="1:10" ht="25.5" customHeight="1" x14ac:dyDescent="0.25">
      <c r="A201" s="171" t="s">
        <v>37</v>
      </c>
      <c r="B201" s="82" t="s">
        <v>196</v>
      </c>
      <c r="C201" s="31" t="s">
        <v>22</v>
      </c>
      <c r="D201" s="32">
        <v>629.29999999999995</v>
      </c>
      <c r="E201" s="32">
        <v>629.29999999999995</v>
      </c>
      <c r="F201" s="68">
        <f t="shared" si="7"/>
        <v>100</v>
      </c>
      <c r="G201" s="32"/>
      <c r="H201" s="33"/>
      <c r="I201" s="34"/>
    </row>
    <row r="202" spans="1:10" ht="27.75" customHeight="1" x14ac:dyDescent="0.25">
      <c r="A202" s="173"/>
      <c r="B202" s="82" t="s">
        <v>204</v>
      </c>
      <c r="C202" s="31" t="s">
        <v>22</v>
      </c>
      <c r="D202" s="32">
        <v>5861</v>
      </c>
      <c r="E202" s="32">
        <v>5861</v>
      </c>
      <c r="F202" s="68">
        <f t="shared" si="7"/>
        <v>100</v>
      </c>
      <c r="G202" s="32"/>
      <c r="H202" s="33"/>
      <c r="I202" s="34"/>
    </row>
    <row r="203" spans="1:10" ht="15" customHeight="1" x14ac:dyDescent="0.25">
      <c r="A203" s="171" t="s">
        <v>38</v>
      </c>
      <c r="B203" s="171" t="s">
        <v>216</v>
      </c>
      <c r="C203" s="31" t="s">
        <v>21</v>
      </c>
      <c r="D203" s="32">
        <v>800</v>
      </c>
      <c r="E203" s="32">
        <v>799.5</v>
      </c>
      <c r="F203" s="68">
        <f t="shared" si="7"/>
        <v>99.9375</v>
      </c>
      <c r="G203" s="174" t="s">
        <v>340</v>
      </c>
      <c r="H203" s="33">
        <f>D203+D204</f>
        <v>5463.8</v>
      </c>
      <c r="I203" s="34">
        <f>E203+E204</f>
        <v>5463.3</v>
      </c>
      <c r="J203" s="33">
        <f>I203/H203*100</f>
        <v>99.990848859767922</v>
      </c>
    </row>
    <row r="204" spans="1:10" ht="96" customHeight="1" x14ac:dyDescent="0.25">
      <c r="A204" s="173"/>
      <c r="B204" s="173"/>
      <c r="C204" s="31" t="s">
        <v>22</v>
      </c>
      <c r="D204" s="32">
        <f>462.4+238.8+10+852+2797.9+302.7</f>
        <v>4663.8</v>
      </c>
      <c r="E204" s="32">
        <v>4663.8</v>
      </c>
      <c r="F204" s="68">
        <f t="shared" si="7"/>
        <v>100</v>
      </c>
      <c r="G204" s="175"/>
      <c r="H204" s="33"/>
      <c r="I204" s="34"/>
    </row>
    <row r="205" spans="1:10" ht="48" x14ac:dyDescent="0.25">
      <c r="A205" s="78" t="s">
        <v>39</v>
      </c>
      <c r="B205" s="82" t="s">
        <v>240</v>
      </c>
      <c r="C205" s="31" t="s">
        <v>22</v>
      </c>
      <c r="D205" s="32">
        <v>40730.9</v>
      </c>
      <c r="E205" s="32">
        <v>25453.1</v>
      </c>
      <c r="F205" s="68">
        <f t="shared" si="7"/>
        <v>62.490885298385244</v>
      </c>
      <c r="G205" s="32" t="s">
        <v>365</v>
      </c>
      <c r="H205" s="33"/>
      <c r="I205" s="34"/>
    </row>
    <row r="206" spans="1:10" ht="28.5" customHeight="1" x14ac:dyDescent="0.25">
      <c r="A206" s="171" t="s">
        <v>40</v>
      </c>
      <c r="B206" s="171" t="s">
        <v>299</v>
      </c>
      <c r="C206" s="31" t="s">
        <v>300</v>
      </c>
      <c r="D206" s="32">
        <v>5869.1</v>
      </c>
      <c r="E206" s="32">
        <v>5624.93</v>
      </c>
      <c r="F206" s="68">
        <f t="shared" si="7"/>
        <v>95.83973692729721</v>
      </c>
      <c r="G206" s="174" t="s">
        <v>411</v>
      </c>
      <c r="H206" s="33">
        <f>D206+D208+D207</f>
        <v>10922.699999999999</v>
      </c>
      <c r="I206" s="33">
        <f>E206+E208+E207</f>
        <v>10482.83</v>
      </c>
      <c r="J206" s="33">
        <f>I206/H206*100</f>
        <v>95.972882162835205</v>
      </c>
    </row>
    <row r="207" spans="1:10" ht="15" customHeight="1" x14ac:dyDescent="0.25">
      <c r="A207" s="172"/>
      <c r="B207" s="172"/>
      <c r="C207" s="31" t="s">
        <v>21</v>
      </c>
      <c r="D207" s="32">
        <f>9621.3-D206</f>
        <v>3752.1999999999989</v>
      </c>
      <c r="E207" s="32">
        <v>3596.2</v>
      </c>
      <c r="F207" s="68">
        <f t="shared" ref="F207" si="9">E207/D207*100</f>
        <v>95.842439102393286</v>
      </c>
      <c r="G207" s="217"/>
      <c r="H207" s="33"/>
      <c r="I207" s="34"/>
    </row>
    <row r="208" spans="1:10" ht="17.25" customHeight="1" x14ac:dyDescent="0.25">
      <c r="A208" s="172"/>
      <c r="B208" s="173"/>
      <c r="C208" s="31" t="s">
        <v>22</v>
      </c>
      <c r="D208" s="32">
        <v>1301.4000000000001</v>
      </c>
      <c r="E208" s="32">
        <v>1261.7</v>
      </c>
      <c r="F208" s="68">
        <f t="shared" si="7"/>
        <v>96.949439065621632</v>
      </c>
      <c r="G208" s="175"/>
      <c r="H208" s="33"/>
      <c r="I208" s="34"/>
    </row>
    <row r="209" spans="1:10" ht="112.5" customHeight="1" x14ac:dyDescent="0.25">
      <c r="A209" s="172"/>
      <c r="B209" s="82" t="s">
        <v>269</v>
      </c>
      <c r="C209" s="31" t="s">
        <v>22</v>
      </c>
      <c r="D209" s="32">
        <v>524</v>
      </c>
      <c r="E209" s="32">
        <v>0</v>
      </c>
      <c r="F209" s="68">
        <f t="shared" si="7"/>
        <v>0</v>
      </c>
      <c r="G209" s="32" t="s">
        <v>340</v>
      </c>
      <c r="H209" s="33"/>
      <c r="I209" s="34"/>
    </row>
    <row r="210" spans="1:10" ht="48.75" customHeight="1" x14ac:dyDescent="0.25">
      <c r="A210" s="172"/>
      <c r="B210" s="82" t="s">
        <v>270</v>
      </c>
      <c r="C210" s="31" t="s">
        <v>22</v>
      </c>
      <c r="D210" s="32">
        <v>17129</v>
      </c>
      <c r="E210" s="32">
        <v>16372.3</v>
      </c>
      <c r="F210" s="68">
        <f t="shared" si="7"/>
        <v>95.582345729464649</v>
      </c>
      <c r="G210" s="32" t="s">
        <v>412</v>
      </c>
      <c r="H210" s="33"/>
      <c r="I210" s="34"/>
    </row>
    <row r="211" spans="1:10" ht="46.5" customHeight="1" x14ac:dyDescent="0.25">
      <c r="A211" s="173"/>
      <c r="B211" s="82" t="s">
        <v>271</v>
      </c>
      <c r="C211" s="31" t="s">
        <v>22</v>
      </c>
      <c r="D211" s="32">
        <v>2700.4</v>
      </c>
      <c r="E211" s="32">
        <v>2681.5</v>
      </c>
      <c r="F211" s="68">
        <f t="shared" si="7"/>
        <v>99.30010368834246</v>
      </c>
      <c r="G211" s="32" t="s">
        <v>412</v>
      </c>
      <c r="H211" s="33"/>
      <c r="I211" s="34"/>
    </row>
    <row r="212" spans="1:10" ht="52.5" customHeight="1" x14ac:dyDescent="0.25">
      <c r="A212" s="78" t="s">
        <v>41</v>
      </c>
      <c r="B212" s="82" t="s">
        <v>104</v>
      </c>
      <c r="C212" s="31" t="s">
        <v>22</v>
      </c>
      <c r="D212" s="32">
        <v>10692.2</v>
      </c>
      <c r="E212" s="32">
        <v>10686.1</v>
      </c>
      <c r="F212" s="68">
        <f t="shared" si="7"/>
        <v>99.942949065674043</v>
      </c>
      <c r="G212" s="32" t="s">
        <v>389</v>
      </c>
      <c r="H212" s="33"/>
      <c r="I212" s="34"/>
    </row>
    <row r="213" spans="1:10" ht="12" customHeight="1" x14ac:dyDescent="0.25">
      <c r="A213" s="176" t="s">
        <v>203</v>
      </c>
      <c r="B213" s="176"/>
      <c r="C213" s="39" t="s">
        <v>296</v>
      </c>
      <c r="D213" s="40">
        <f>SUM(D187:D212)</f>
        <v>165727.80000000002</v>
      </c>
      <c r="E213" s="40">
        <f>SUM(E187:E212)</f>
        <v>145135.72999999998</v>
      </c>
      <c r="F213" s="69">
        <f>E213/D213*100</f>
        <v>87.574764161474391</v>
      </c>
      <c r="G213" s="40"/>
      <c r="H213" s="33"/>
      <c r="I213" s="34"/>
    </row>
    <row r="214" spans="1:10" ht="24" x14ac:dyDescent="0.25">
      <c r="A214" s="176"/>
      <c r="B214" s="176"/>
      <c r="C214" s="39" t="s">
        <v>300</v>
      </c>
      <c r="D214" s="40">
        <f>D206</f>
        <v>5869.1</v>
      </c>
      <c r="E214" s="40">
        <f>E206</f>
        <v>5624.93</v>
      </c>
      <c r="F214" s="69">
        <f>E214/D214*100</f>
        <v>95.83973692729721</v>
      </c>
      <c r="G214" s="40"/>
      <c r="H214" s="33"/>
      <c r="I214" s="34"/>
    </row>
    <row r="215" spans="1:10" x14ac:dyDescent="0.25">
      <c r="A215" s="176"/>
      <c r="B215" s="176"/>
      <c r="C215" s="39" t="s">
        <v>21</v>
      </c>
      <c r="D215" s="40">
        <f>D192+D194+D198+D203+D207</f>
        <v>9771</v>
      </c>
      <c r="E215" s="40">
        <f>E192+E194+E198+E203+E207</f>
        <v>9592</v>
      </c>
      <c r="F215" s="69">
        <f t="shared" ref="F215:F216" si="10">E215/D215*100</f>
        <v>98.168048306212256</v>
      </c>
      <c r="G215" s="40"/>
      <c r="H215" s="33"/>
      <c r="I215" s="34"/>
    </row>
    <row r="216" spans="1:10" x14ac:dyDescent="0.25">
      <c r="A216" s="176"/>
      <c r="B216" s="176"/>
      <c r="C216" s="39" t="s">
        <v>22</v>
      </c>
      <c r="D216" s="40">
        <f>D187+D188+D189+D190+D191+D196+D197+D193+D195++D199+D200+D201+D202+D204+D205+D208+D209+D210+D211+D212</f>
        <v>150087.70000000001</v>
      </c>
      <c r="E216" s="40">
        <f>E187+E188+E189+E190+E191+E196+E197+E193+E195++E199+E200+E201+E202+E204+E205+E208+E209+E210+E211+E212</f>
        <v>129918.80000000002</v>
      </c>
      <c r="F216" s="69">
        <f t="shared" si="10"/>
        <v>86.561923462082518</v>
      </c>
      <c r="G216" s="40"/>
      <c r="H216" s="33"/>
      <c r="I216" s="34"/>
    </row>
    <row r="217" spans="1:10" ht="12" customHeight="1" x14ac:dyDescent="0.25">
      <c r="A217" s="177" t="s">
        <v>89</v>
      </c>
      <c r="B217" s="178"/>
      <c r="C217" s="178"/>
      <c r="D217" s="178"/>
      <c r="E217" s="178"/>
      <c r="F217" s="178"/>
      <c r="G217" s="179"/>
      <c r="H217" s="33"/>
      <c r="I217" s="34"/>
    </row>
    <row r="218" spans="1:10" ht="24" hidden="1" x14ac:dyDescent="0.25">
      <c r="A218" s="78" t="s">
        <v>30</v>
      </c>
      <c r="B218" s="82"/>
      <c r="C218" s="31"/>
      <c r="D218" s="32">
        <v>0</v>
      </c>
      <c r="E218" s="32">
        <v>0</v>
      </c>
      <c r="F218" s="68" t="e">
        <f t="shared" si="1"/>
        <v>#DIV/0!</v>
      </c>
      <c r="G218" s="32"/>
      <c r="H218" s="33"/>
      <c r="I218" s="34"/>
    </row>
    <row r="219" spans="1:10" ht="12.75" hidden="1" customHeight="1" x14ac:dyDescent="0.25">
      <c r="A219" s="78" t="s">
        <v>31</v>
      </c>
      <c r="B219" s="82"/>
      <c r="C219" s="31"/>
      <c r="D219" s="32">
        <v>0</v>
      </c>
      <c r="E219" s="32">
        <v>0</v>
      </c>
      <c r="F219" s="68" t="e">
        <f t="shared" si="1"/>
        <v>#DIV/0!</v>
      </c>
      <c r="G219" s="32"/>
      <c r="H219" s="33"/>
      <c r="I219" s="34"/>
    </row>
    <row r="220" spans="1:10" hidden="1" x14ac:dyDescent="0.25">
      <c r="A220" s="78" t="s">
        <v>32</v>
      </c>
      <c r="B220" s="82"/>
      <c r="C220" s="31"/>
      <c r="D220" s="32">
        <v>0</v>
      </c>
      <c r="E220" s="32">
        <v>0</v>
      </c>
      <c r="F220" s="68" t="e">
        <f t="shared" si="1"/>
        <v>#DIV/0!</v>
      </c>
      <c r="G220" s="32"/>
      <c r="H220" s="33"/>
      <c r="I220" s="34"/>
    </row>
    <row r="221" spans="1:10" ht="38.25" customHeight="1" x14ac:dyDescent="0.25">
      <c r="A221" s="78" t="s">
        <v>36</v>
      </c>
      <c r="B221" s="82" t="s">
        <v>148</v>
      </c>
      <c r="C221" s="31" t="s">
        <v>22</v>
      </c>
      <c r="D221" s="32">
        <v>20.7</v>
      </c>
      <c r="E221" s="32">
        <v>20.7</v>
      </c>
      <c r="F221" s="68">
        <f t="shared" si="1"/>
        <v>100</v>
      </c>
      <c r="G221" s="32"/>
      <c r="H221" s="33"/>
      <c r="I221" s="34"/>
    </row>
    <row r="222" spans="1:10" ht="12" hidden="1" customHeight="1" x14ac:dyDescent="0.25">
      <c r="A222" s="78" t="s">
        <v>33</v>
      </c>
      <c r="B222" s="82"/>
      <c r="C222" s="31"/>
      <c r="D222" s="32">
        <v>0</v>
      </c>
      <c r="E222" s="32">
        <v>0</v>
      </c>
      <c r="F222" s="68" t="e">
        <f t="shared" si="1"/>
        <v>#DIV/0!</v>
      </c>
      <c r="G222" s="32"/>
      <c r="H222" s="33"/>
      <c r="I222" s="34"/>
    </row>
    <row r="223" spans="1:10" ht="12" customHeight="1" x14ac:dyDescent="0.25">
      <c r="A223" s="171" t="s">
        <v>34</v>
      </c>
      <c r="B223" s="184" t="s">
        <v>58</v>
      </c>
      <c r="C223" s="31" t="s">
        <v>21</v>
      </c>
      <c r="D223" s="32">
        <v>2626</v>
      </c>
      <c r="E223" s="32">
        <v>2626</v>
      </c>
      <c r="F223" s="68">
        <f t="shared" si="1"/>
        <v>100</v>
      </c>
      <c r="G223" s="174" t="s">
        <v>379</v>
      </c>
      <c r="H223" s="33">
        <f>D223+D224</f>
        <v>8173.1</v>
      </c>
      <c r="I223" s="34">
        <f>E223+E224</f>
        <v>8127.5</v>
      </c>
      <c r="J223" s="33">
        <f>I223/H223*100</f>
        <v>99.442072163560951</v>
      </c>
    </row>
    <row r="224" spans="1:10" ht="126" customHeight="1" x14ac:dyDescent="0.25">
      <c r="A224" s="173"/>
      <c r="B224" s="185"/>
      <c r="C224" s="31" t="s">
        <v>22</v>
      </c>
      <c r="D224" s="32">
        <v>5547.1</v>
      </c>
      <c r="E224" s="32">
        <v>5501.5</v>
      </c>
      <c r="F224" s="68">
        <f t="shared" si="1"/>
        <v>99.177948838131627</v>
      </c>
      <c r="G224" s="175"/>
      <c r="H224" s="33"/>
      <c r="I224" s="34"/>
    </row>
    <row r="225" spans="1:9" ht="24" hidden="1" x14ac:dyDescent="0.25">
      <c r="A225" s="78" t="s">
        <v>35</v>
      </c>
      <c r="B225" s="82"/>
      <c r="C225" s="31"/>
      <c r="D225" s="32">
        <v>0</v>
      </c>
      <c r="E225" s="32">
        <v>0</v>
      </c>
      <c r="F225" s="68" t="e">
        <f t="shared" si="1"/>
        <v>#DIV/0!</v>
      </c>
      <c r="G225" s="32"/>
      <c r="H225" s="33"/>
      <c r="I225" s="34"/>
    </row>
    <row r="226" spans="1:9" hidden="1" x14ac:dyDescent="0.25">
      <c r="A226" s="78" t="s">
        <v>37</v>
      </c>
      <c r="B226" s="82"/>
      <c r="C226" s="31"/>
      <c r="D226" s="32">
        <v>0</v>
      </c>
      <c r="E226" s="32">
        <v>0</v>
      </c>
      <c r="F226" s="68" t="e">
        <f t="shared" si="1"/>
        <v>#DIV/0!</v>
      </c>
      <c r="G226" s="32"/>
      <c r="H226" s="33"/>
      <c r="I226" s="34"/>
    </row>
    <row r="227" spans="1:9" ht="12" hidden="1" customHeight="1" x14ac:dyDescent="0.25">
      <c r="A227" s="78" t="s">
        <v>38</v>
      </c>
      <c r="B227" s="82"/>
      <c r="C227" s="31"/>
      <c r="D227" s="32">
        <v>0</v>
      </c>
      <c r="E227" s="32">
        <v>0</v>
      </c>
      <c r="F227" s="68" t="e">
        <f t="shared" si="1"/>
        <v>#DIV/0!</v>
      </c>
      <c r="G227" s="32"/>
      <c r="H227" s="33"/>
      <c r="I227" s="34"/>
    </row>
    <row r="228" spans="1:9" ht="42.75" customHeight="1" x14ac:dyDescent="0.25">
      <c r="A228" s="78" t="s">
        <v>39</v>
      </c>
      <c r="B228" s="82" t="s">
        <v>238</v>
      </c>
      <c r="C228" s="31" t="s">
        <v>22</v>
      </c>
      <c r="D228" s="32">
        <v>1531.4</v>
      </c>
      <c r="E228" s="32">
        <v>1469.2</v>
      </c>
      <c r="F228" s="68">
        <f t="shared" si="1"/>
        <v>95.938357058900351</v>
      </c>
      <c r="G228" s="32" t="s">
        <v>328</v>
      </c>
      <c r="H228" s="33"/>
      <c r="I228" s="34"/>
    </row>
    <row r="229" spans="1:9" ht="39" customHeight="1" x14ac:dyDescent="0.25">
      <c r="A229" s="78" t="s">
        <v>40</v>
      </c>
      <c r="B229" s="82" t="s">
        <v>267</v>
      </c>
      <c r="C229" s="31" t="s">
        <v>22</v>
      </c>
      <c r="D229" s="32">
        <v>20113.2</v>
      </c>
      <c r="E229" s="32">
        <v>13184.1</v>
      </c>
      <c r="F229" s="68">
        <f t="shared" si="1"/>
        <v>65.549489887238238</v>
      </c>
      <c r="G229" s="32" t="s">
        <v>413</v>
      </c>
      <c r="H229" s="33"/>
      <c r="I229" s="34"/>
    </row>
    <row r="230" spans="1:9" ht="75.75" customHeight="1" x14ac:dyDescent="0.25">
      <c r="A230" s="78" t="s">
        <v>41</v>
      </c>
      <c r="B230" s="82" t="s">
        <v>101</v>
      </c>
      <c r="C230" s="31" t="s">
        <v>22</v>
      </c>
      <c r="D230" s="32">
        <v>406.8</v>
      </c>
      <c r="E230" s="32">
        <v>319.7</v>
      </c>
      <c r="F230" s="68">
        <f t="shared" si="1"/>
        <v>78.5889872173058</v>
      </c>
      <c r="G230" s="32" t="s">
        <v>399</v>
      </c>
      <c r="H230" s="33"/>
      <c r="I230" s="34"/>
    </row>
    <row r="231" spans="1:9" ht="12" customHeight="1" x14ac:dyDescent="0.25">
      <c r="A231" s="186" t="s">
        <v>203</v>
      </c>
      <c r="B231" s="187"/>
      <c r="C231" s="39" t="s">
        <v>296</v>
      </c>
      <c r="D231" s="40">
        <f>SUM(D221:D230)</f>
        <v>30245.200000000001</v>
      </c>
      <c r="E231" s="40">
        <f>SUM(E221:E230)</f>
        <v>23121.200000000001</v>
      </c>
      <c r="F231" s="69">
        <f>E231/D231*100</f>
        <v>76.445849258725346</v>
      </c>
      <c r="G231" s="40"/>
      <c r="H231" s="33"/>
      <c r="I231" s="34"/>
    </row>
    <row r="232" spans="1:9" x14ac:dyDescent="0.25">
      <c r="A232" s="188"/>
      <c r="B232" s="189"/>
      <c r="C232" s="39" t="s">
        <v>21</v>
      </c>
      <c r="D232" s="40">
        <f>D223</f>
        <v>2626</v>
      </c>
      <c r="E232" s="40">
        <f>E223</f>
        <v>2626</v>
      </c>
      <c r="F232" s="69">
        <f t="shared" ref="F232:F233" si="11">E232/D232*100</f>
        <v>100</v>
      </c>
      <c r="G232" s="40"/>
      <c r="H232" s="33"/>
      <c r="I232" s="34"/>
    </row>
    <row r="233" spans="1:9" x14ac:dyDescent="0.25">
      <c r="A233" s="190"/>
      <c r="B233" s="191"/>
      <c r="C233" s="39" t="s">
        <v>22</v>
      </c>
      <c r="D233" s="40">
        <f>D218+D219+D220+D221+D222+D225+D226+D227+D228+D224+D229+D230</f>
        <v>27619.200000000001</v>
      </c>
      <c r="E233" s="40">
        <f>E218+E219+E220+E221+E222+E225+E226+E227+E228+E224+E229+E230</f>
        <v>20495.2</v>
      </c>
      <c r="F233" s="69">
        <f t="shared" si="11"/>
        <v>74.206349206349216</v>
      </c>
      <c r="G233" s="40"/>
      <c r="H233" s="33"/>
      <c r="I233" s="34"/>
    </row>
    <row r="234" spans="1:9" ht="12" customHeight="1" x14ac:dyDescent="0.25">
      <c r="A234" s="177" t="s">
        <v>90</v>
      </c>
      <c r="B234" s="178"/>
      <c r="C234" s="178"/>
      <c r="D234" s="178"/>
      <c r="E234" s="178"/>
      <c r="F234" s="178"/>
      <c r="G234" s="179"/>
      <c r="H234" s="33"/>
      <c r="I234" s="34"/>
    </row>
    <row r="235" spans="1:9" ht="24.75" customHeight="1" x14ac:dyDescent="0.25">
      <c r="A235" s="78" t="s">
        <v>30</v>
      </c>
      <c r="B235" s="82" t="s">
        <v>84</v>
      </c>
      <c r="C235" s="31" t="s">
        <v>22</v>
      </c>
      <c r="D235" s="32">
        <v>938.5</v>
      </c>
      <c r="E235" s="32">
        <v>938.5</v>
      </c>
      <c r="F235" s="68">
        <f t="shared" si="1"/>
        <v>100</v>
      </c>
      <c r="G235" s="32"/>
      <c r="H235" s="33"/>
      <c r="I235" s="34"/>
    </row>
    <row r="236" spans="1:9" ht="0.75" hidden="1" customHeight="1" x14ac:dyDescent="0.25">
      <c r="A236" s="78" t="s">
        <v>31</v>
      </c>
      <c r="B236" s="82"/>
      <c r="C236" s="31"/>
      <c r="D236" s="32">
        <v>0</v>
      </c>
      <c r="E236" s="32">
        <v>0</v>
      </c>
      <c r="F236" s="68" t="e">
        <f t="shared" si="1"/>
        <v>#DIV/0!</v>
      </c>
      <c r="G236" s="32"/>
      <c r="H236" s="33"/>
      <c r="I236" s="34"/>
    </row>
    <row r="237" spans="1:9" hidden="1" x14ac:dyDescent="0.25">
      <c r="A237" s="78" t="s">
        <v>32</v>
      </c>
      <c r="B237" s="82"/>
      <c r="C237" s="31"/>
      <c r="D237" s="32">
        <v>0</v>
      </c>
      <c r="E237" s="32">
        <v>0</v>
      </c>
      <c r="F237" s="68" t="e">
        <f t="shared" ref="F237:F350" si="12">E237/D237*100</f>
        <v>#DIV/0!</v>
      </c>
      <c r="G237" s="32"/>
      <c r="H237" s="33"/>
      <c r="I237" s="34"/>
    </row>
    <row r="238" spans="1:9" hidden="1" x14ac:dyDescent="0.25">
      <c r="A238" s="78" t="s">
        <v>36</v>
      </c>
      <c r="B238" s="82"/>
      <c r="C238" s="31"/>
      <c r="D238" s="32">
        <v>0</v>
      </c>
      <c r="E238" s="32">
        <v>0</v>
      </c>
      <c r="F238" s="68" t="e">
        <f t="shared" si="12"/>
        <v>#DIV/0!</v>
      </c>
      <c r="G238" s="32"/>
      <c r="H238" s="33"/>
      <c r="I238" s="34"/>
    </row>
    <row r="239" spans="1:9" ht="0.75" hidden="1" customHeight="1" x14ac:dyDescent="0.25">
      <c r="A239" s="78" t="s">
        <v>33</v>
      </c>
      <c r="B239" s="82"/>
      <c r="C239" s="31"/>
      <c r="D239" s="32">
        <v>0</v>
      </c>
      <c r="E239" s="32">
        <v>0</v>
      </c>
      <c r="F239" s="68" t="e">
        <f t="shared" si="12"/>
        <v>#DIV/0!</v>
      </c>
      <c r="G239" s="32"/>
      <c r="H239" s="33"/>
      <c r="I239" s="34"/>
    </row>
    <row r="240" spans="1:9" ht="87" customHeight="1" x14ac:dyDescent="0.25">
      <c r="A240" s="78" t="s">
        <v>34</v>
      </c>
      <c r="B240" s="82" t="s">
        <v>59</v>
      </c>
      <c r="C240" s="31" t="s">
        <v>22</v>
      </c>
      <c r="D240" s="32">
        <v>433</v>
      </c>
      <c r="E240" s="32">
        <v>54</v>
      </c>
      <c r="F240" s="68">
        <f t="shared" si="12"/>
        <v>12.471131639722865</v>
      </c>
      <c r="G240" s="32" t="s">
        <v>380</v>
      </c>
      <c r="H240" s="33"/>
      <c r="I240" s="34"/>
    </row>
    <row r="241" spans="1:9" ht="60" x14ac:dyDescent="0.25">
      <c r="A241" s="78" t="s">
        <v>35</v>
      </c>
      <c r="B241" s="82" t="s">
        <v>301</v>
      </c>
      <c r="C241" s="31" t="s">
        <v>22</v>
      </c>
      <c r="D241" s="32">
        <v>226.8</v>
      </c>
      <c r="E241" s="32">
        <v>197.8</v>
      </c>
      <c r="F241" s="68">
        <f t="shared" si="12"/>
        <v>87.213403880070544</v>
      </c>
      <c r="G241" s="32" t="s">
        <v>332</v>
      </c>
      <c r="H241" s="33"/>
      <c r="I241" s="34"/>
    </row>
    <row r="242" spans="1:9" hidden="1" x14ac:dyDescent="0.25">
      <c r="A242" s="78" t="s">
        <v>37</v>
      </c>
      <c r="B242" s="82"/>
      <c r="C242" s="31"/>
      <c r="D242" s="32">
        <v>0</v>
      </c>
      <c r="E242" s="32">
        <v>0</v>
      </c>
      <c r="F242" s="68" t="e">
        <f t="shared" si="12"/>
        <v>#DIV/0!</v>
      </c>
      <c r="G242" s="32"/>
      <c r="H242" s="33"/>
      <c r="I242" s="34"/>
    </row>
    <row r="243" spans="1:9" ht="13.5" hidden="1" customHeight="1" x14ac:dyDescent="0.25">
      <c r="A243" s="78" t="s">
        <v>38</v>
      </c>
      <c r="B243" s="82"/>
      <c r="C243" s="31"/>
      <c r="D243" s="32">
        <v>0</v>
      </c>
      <c r="E243" s="32">
        <v>0</v>
      </c>
      <c r="F243" s="68" t="e">
        <f t="shared" si="12"/>
        <v>#DIV/0!</v>
      </c>
      <c r="G243" s="32"/>
      <c r="H243" s="33"/>
      <c r="I243" s="34"/>
    </row>
    <row r="244" spans="1:9" ht="114" customHeight="1" x14ac:dyDescent="0.25">
      <c r="A244" s="78" t="s">
        <v>39</v>
      </c>
      <c r="B244" s="82" t="s">
        <v>237</v>
      </c>
      <c r="C244" s="31" t="s">
        <v>22</v>
      </c>
      <c r="D244" s="32">
        <v>3172.7</v>
      </c>
      <c r="E244" s="32">
        <v>2664.3</v>
      </c>
      <c r="F244" s="68">
        <f t="shared" si="12"/>
        <v>83.975793488196189</v>
      </c>
      <c r="G244" s="32" t="s">
        <v>340</v>
      </c>
      <c r="H244" s="33"/>
      <c r="I244" s="34"/>
    </row>
    <row r="245" spans="1:9" ht="200.25" customHeight="1" x14ac:dyDescent="0.25">
      <c r="A245" s="78" t="s">
        <v>40</v>
      </c>
      <c r="B245" s="82" t="s">
        <v>268</v>
      </c>
      <c r="C245" s="31" t="s">
        <v>22</v>
      </c>
      <c r="D245" s="32">
        <v>1680</v>
      </c>
      <c r="E245" s="32">
        <v>180.5</v>
      </c>
      <c r="F245" s="68">
        <f t="shared" si="12"/>
        <v>10.74404761904762</v>
      </c>
      <c r="G245" s="32" t="s">
        <v>414</v>
      </c>
      <c r="H245" s="33"/>
      <c r="I245" s="34"/>
    </row>
    <row r="246" spans="1:9" ht="147" customHeight="1" x14ac:dyDescent="0.25">
      <c r="A246" s="78" t="s">
        <v>41</v>
      </c>
      <c r="B246" s="82" t="s">
        <v>102</v>
      </c>
      <c r="C246" s="31" t="s">
        <v>22</v>
      </c>
      <c r="D246" s="32">
        <v>742.5</v>
      </c>
      <c r="E246" s="32">
        <v>725.6</v>
      </c>
      <c r="F246" s="68">
        <f t="shared" si="12"/>
        <v>97.72390572390573</v>
      </c>
      <c r="G246" s="32" t="s">
        <v>390</v>
      </c>
      <c r="H246" s="33"/>
      <c r="I246" s="34"/>
    </row>
    <row r="247" spans="1:9" ht="12" customHeight="1" x14ac:dyDescent="0.25">
      <c r="A247" s="186" t="s">
        <v>203</v>
      </c>
      <c r="B247" s="187"/>
      <c r="C247" s="39" t="s">
        <v>296</v>
      </c>
      <c r="D247" s="40">
        <f>SUM(D235:D246)</f>
        <v>7193.5</v>
      </c>
      <c r="E247" s="40">
        <f>SUM(E235:E246)</f>
        <v>4760.7000000000007</v>
      </c>
      <c r="F247" s="69">
        <f>E247/D247*100</f>
        <v>66.180579689997927</v>
      </c>
      <c r="G247" s="40"/>
      <c r="H247" s="33"/>
      <c r="I247" s="34"/>
    </row>
    <row r="248" spans="1:9" x14ac:dyDescent="0.25">
      <c r="A248" s="190"/>
      <c r="B248" s="191"/>
      <c r="C248" s="39" t="s">
        <v>22</v>
      </c>
      <c r="D248" s="40">
        <f>D235+D236+D237+D238+D239+D240+D241+D242+D243+D244+D245+D246</f>
        <v>7193.5</v>
      </c>
      <c r="E248" s="40">
        <f>E235+E236+E237+E238+E239+E240+E241+E242+E243+E244+E245+E246</f>
        <v>4760.7000000000007</v>
      </c>
      <c r="F248" s="69">
        <f>E248/D248*100</f>
        <v>66.180579689997927</v>
      </c>
      <c r="G248" s="40"/>
      <c r="H248" s="33"/>
      <c r="I248" s="34"/>
    </row>
    <row r="249" spans="1:9" ht="12" customHeight="1" x14ac:dyDescent="0.25">
      <c r="A249" s="177" t="s">
        <v>91</v>
      </c>
      <c r="B249" s="178"/>
      <c r="C249" s="178"/>
      <c r="D249" s="178"/>
      <c r="E249" s="178"/>
      <c r="F249" s="178"/>
      <c r="G249" s="179"/>
      <c r="H249" s="33"/>
      <c r="I249" s="34"/>
    </row>
    <row r="250" spans="1:9" ht="39" customHeight="1" x14ac:dyDescent="0.25">
      <c r="A250" s="78" t="s">
        <v>30</v>
      </c>
      <c r="B250" s="82" t="s">
        <v>83</v>
      </c>
      <c r="C250" s="31" t="s">
        <v>22</v>
      </c>
      <c r="D250" s="32">
        <v>873.5</v>
      </c>
      <c r="E250" s="32">
        <v>873.5</v>
      </c>
      <c r="F250" s="68">
        <f t="shared" si="12"/>
        <v>100</v>
      </c>
      <c r="G250" s="32"/>
      <c r="H250" s="33"/>
      <c r="I250" s="34"/>
    </row>
    <row r="251" spans="1:9" ht="0.75" hidden="1" customHeight="1" x14ac:dyDescent="0.25">
      <c r="A251" s="78" t="s">
        <v>31</v>
      </c>
      <c r="B251" s="82"/>
      <c r="C251" s="31"/>
      <c r="D251" s="32">
        <v>0</v>
      </c>
      <c r="E251" s="32">
        <v>0</v>
      </c>
      <c r="F251" s="68" t="e">
        <f t="shared" si="12"/>
        <v>#DIV/0!</v>
      </c>
      <c r="G251" s="32"/>
      <c r="H251" s="33"/>
      <c r="I251" s="34"/>
    </row>
    <row r="252" spans="1:9" hidden="1" x14ac:dyDescent="0.25">
      <c r="A252" s="78" t="s">
        <v>32</v>
      </c>
      <c r="B252" s="82"/>
      <c r="C252" s="31"/>
      <c r="D252" s="32">
        <v>0</v>
      </c>
      <c r="E252" s="32">
        <v>0</v>
      </c>
      <c r="F252" s="68" t="e">
        <f t="shared" si="12"/>
        <v>#DIV/0!</v>
      </c>
      <c r="G252" s="32"/>
      <c r="H252" s="33"/>
      <c r="I252" s="34"/>
    </row>
    <row r="253" spans="1:9" ht="36.75" customHeight="1" x14ac:dyDescent="0.25">
      <c r="A253" s="78" t="s">
        <v>36</v>
      </c>
      <c r="B253" s="82" t="s">
        <v>149</v>
      </c>
      <c r="C253" s="31" t="s">
        <v>22</v>
      </c>
      <c r="D253" s="32">
        <v>1010.2</v>
      </c>
      <c r="E253" s="32">
        <v>1010.2</v>
      </c>
      <c r="F253" s="68">
        <f t="shared" si="12"/>
        <v>100</v>
      </c>
      <c r="G253" s="32"/>
      <c r="H253" s="33"/>
      <c r="I253" s="34"/>
    </row>
    <row r="254" spans="1:9" ht="48" x14ac:dyDescent="0.25">
      <c r="A254" s="78" t="s">
        <v>33</v>
      </c>
      <c r="B254" s="82" t="s">
        <v>162</v>
      </c>
      <c r="C254" s="31" t="s">
        <v>22</v>
      </c>
      <c r="D254" s="32">
        <v>37</v>
      </c>
      <c r="E254" s="32">
        <v>37</v>
      </c>
      <c r="F254" s="68">
        <f t="shared" si="12"/>
        <v>100</v>
      </c>
      <c r="G254" s="32"/>
      <c r="H254" s="33"/>
      <c r="I254" s="34"/>
    </row>
    <row r="255" spans="1:9" ht="37.5" customHeight="1" x14ac:dyDescent="0.25">
      <c r="A255" s="171" t="s">
        <v>34</v>
      </c>
      <c r="B255" s="82" t="s">
        <v>61</v>
      </c>
      <c r="C255" s="31" t="s">
        <v>22</v>
      </c>
      <c r="D255" s="32">
        <v>99.4</v>
      </c>
      <c r="E255" s="32">
        <v>99.4</v>
      </c>
      <c r="F255" s="68">
        <f t="shared" si="12"/>
        <v>100</v>
      </c>
      <c r="G255" s="32"/>
      <c r="H255" s="33"/>
      <c r="I255" s="34"/>
    </row>
    <row r="256" spans="1:9" ht="51" customHeight="1" x14ac:dyDescent="0.25">
      <c r="A256" s="173"/>
      <c r="B256" s="82" t="s">
        <v>64</v>
      </c>
      <c r="C256" s="31" t="s">
        <v>22</v>
      </c>
      <c r="D256" s="32">
        <v>30</v>
      </c>
      <c r="E256" s="32">
        <v>30</v>
      </c>
      <c r="F256" s="68">
        <f t="shared" si="12"/>
        <v>100</v>
      </c>
      <c r="G256" s="32"/>
      <c r="H256" s="33"/>
      <c r="I256" s="34"/>
    </row>
    <row r="257" spans="1:10" ht="86.25" customHeight="1" x14ac:dyDescent="0.25">
      <c r="A257" s="78" t="s">
        <v>35</v>
      </c>
      <c r="B257" s="82" t="s">
        <v>184</v>
      </c>
      <c r="C257" s="31" t="s">
        <v>22</v>
      </c>
      <c r="D257" s="32">
        <v>500</v>
      </c>
      <c r="E257" s="32">
        <v>498.9</v>
      </c>
      <c r="F257" s="68">
        <f t="shared" si="12"/>
        <v>99.779999999999987</v>
      </c>
      <c r="G257" s="32" t="s">
        <v>384</v>
      </c>
      <c r="H257" s="33"/>
      <c r="I257" s="34"/>
    </row>
    <row r="258" spans="1:10" ht="90" customHeight="1" x14ac:dyDescent="0.25">
      <c r="A258" s="78" t="s">
        <v>39</v>
      </c>
      <c r="B258" s="82" t="s">
        <v>239</v>
      </c>
      <c r="C258" s="31" t="s">
        <v>22</v>
      </c>
      <c r="D258" s="32">
        <v>3210</v>
      </c>
      <c r="E258" s="32">
        <v>2817.2</v>
      </c>
      <c r="F258" s="68">
        <f t="shared" si="12"/>
        <v>87.763239875389402</v>
      </c>
      <c r="G258" s="32" t="s">
        <v>345</v>
      </c>
      <c r="H258" s="33"/>
      <c r="I258" s="34"/>
    </row>
    <row r="259" spans="1:10" ht="39.75" customHeight="1" x14ac:dyDescent="0.25">
      <c r="A259" s="78" t="s">
        <v>40</v>
      </c>
      <c r="B259" s="82" t="s">
        <v>266</v>
      </c>
      <c r="C259" s="31" t="s">
        <v>22</v>
      </c>
      <c r="D259" s="32">
        <v>6198.3</v>
      </c>
      <c r="E259" s="32">
        <v>5863.6</v>
      </c>
      <c r="F259" s="68">
        <f t="shared" si="12"/>
        <v>94.600132294338763</v>
      </c>
      <c r="G259" s="32" t="s">
        <v>415</v>
      </c>
      <c r="H259" s="33"/>
      <c r="I259" s="34"/>
    </row>
    <row r="260" spans="1:10" ht="37.5" customHeight="1" x14ac:dyDescent="0.25">
      <c r="A260" s="78" t="s">
        <v>41</v>
      </c>
      <c r="B260" s="82" t="s">
        <v>103</v>
      </c>
      <c r="C260" s="31" t="s">
        <v>22</v>
      </c>
      <c r="D260" s="32">
        <v>3235.4</v>
      </c>
      <c r="E260" s="32">
        <v>3235.4</v>
      </c>
      <c r="F260" s="68">
        <f t="shared" si="12"/>
        <v>100</v>
      </c>
      <c r="G260" s="32"/>
      <c r="H260" s="33"/>
      <c r="I260" s="34"/>
    </row>
    <row r="261" spans="1:10" ht="12" customHeight="1" x14ac:dyDescent="0.25">
      <c r="A261" s="186" t="s">
        <v>203</v>
      </c>
      <c r="B261" s="187"/>
      <c r="C261" s="39" t="s">
        <v>296</v>
      </c>
      <c r="D261" s="40">
        <f>SUM(D250:D260)</f>
        <v>15193.800000000001</v>
      </c>
      <c r="E261" s="40">
        <f>SUM(E250:E260)</f>
        <v>14465.2</v>
      </c>
      <c r="F261" s="69">
        <f>E261/D261*100</f>
        <v>95.204622938303785</v>
      </c>
      <c r="G261" s="40"/>
      <c r="H261" s="33"/>
      <c r="I261" s="34"/>
    </row>
    <row r="262" spans="1:10" x14ac:dyDescent="0.25">
      <c r="A262" s="190"/>
      <c r="B262" s="191"/>
      <c r="C262" s="39" t="s">
        <v>22</v>
      </c>
      <c r="D262" s="40">
        <f>D250+D251+D252+D253+D254+D255+D256+D257+D258+D259+D260</f>
        <v>15193.800000000001</v>
      </c>
      <c r="E262" s="40">
        <f t="shared" ref="E262" si="13">E250+E251+E252+E253+E254+E255+E256+E257+E258+E259+E260</f>
        <v>14465.2</v>
      </c>
      <c r="F262" s="69">
        <f>E262/D262*100</f>
        <v>95.204622938303785</v>
      </c>
      <c r="G262" s="40"/>
      <c r="H262" s="33"/>
      <c r="I262" s="34"/>
    </row>
    <row r="263" spans="1:10" ht="12" customHeight="1" x14ac:dyDescent="0.25">
      <c r="A263" s="177" t="s">
        <v>92</v>
      </c>
      <c r="B263" s="178"/>
      <c r="C263" s="178"/>
      <c r="D263" s="178"/>
      <c r="E263" s="178"/>
      <c r="F263" s="178"/>
      <c r="G263" s="179"/>
      <c r="H263" s="33"/>
      <c r="I263" s="34"/>
    </row>
    <row r="264" spans="1:10" ht="24" hidden="1" x14ac:dyDescent="0.25">
      <c r="A264" s="78" t="s">
        <v>30</v>
      </c>
      <c r="B264" s="82"/>
      <c r="C264" s="31"/>
      <c r="D264" s="32">
        <v>0</v>
      </c>
      <c r="E264" s="32">
        <v>0</v>
      </c>
      <c r="F264" s="68" t="e">
        <f t="shared" si="12"/>
        <v>#DIV/0!</v>
      </c>
      <c r="G264" s="32"/>
      <c r="H264" s="33"/>
      <c r="I264" s="34"/>
    </row>
    <row r="265" spans="1:10" ht="10.5" hidden="1" customHeight="1" x14ac:dyDescent="0.25">
      <c r="A265" s="78" t="s">
        <v>31</v>
      </c>
      <c r="B265" s="82"/>
      <c r="C265" s="31"/>
      <c r="D265" s="32">
        <v>0</v>
      </c>
      <c r="E265" s="32">
        <v>0</v>
      </c>
      <c r="F265" s="68" t="e">
        <f t="shared" si="12"/>
        <v>#DIV/0!</v>
      </c>
      <c r="G265" s="32"/>
      <c r="H265" s="33"/>
      <c r="I265" s="34"/>
    </row>
    <row r="266" spans="1:10" hidden="1" x14ac:dyDescent="0.25">
      <c r="A266" s="78" t="s">
        <v>32</v>
      </c>
      <c r="B266" s="82"/>
      <c r="C266" s="31"/>
      <c r="D266" s="32">
        <v>0</v>
      </c>
      <c r="E266" s="32">
        <v>0</v>
      </c>
      <c r="F266" s="68" t="e">
        <f t="shared" si="12"/>
        <v>#DIV/0!</v>
      </c>
      <c r="G266" s="32"/>
      <c r="H266" s="33"/>
      <c r="I266" s="34"/>
    </row>
    <row r="267" spans="1:10" hidden="1" x14ac:dyDescent="0.25">
      <c r="A267" s="78" t="s">
        <v>36</v>
      </c>
      <c r="B267" s="82"/>
      <c r="C267" s="31"/>
      <c r="D267" s="32">
        <v>0</v>
      </c>
      <c r="E267" s="32">
        <v>0</v>
      </c>
      <c r="F267" s="68" t="e">
        <f t="shared" si="12"/>
        <v>#DIV/0!</v>
      </c>
      <c r="G267" s="32"/>
      <c r="H267" s="33"/>
      <c r="I267" s="34"/>
    </row>
    <row r="268" spans="1:10" ht="13.5" hidden="1" customHeight="1" x14ac:dyDescent="0.25">
      <c r="A268" s="78" t="s">
        <v>33</v>
      </c>
      <c r="B268" s="82"/>
      <c r="C268" s="31"/>
      <c r="D268" s="32">
        <v>0</v>
      </c>
      <c r="E268" s="32">
        <v>0</v>
      </c>
      <c r="F268" s="68" t="e">
        <f t="shared" si="12"/>
        <v>#DIV/0!</v>
      </c>
      <c r="G268" s="32"/>
      <c r="H268" s="33"/>
      <c r="I268" s="34"/>
    </row>
    <row r="269" spans="1:10" hidden="1" x14ac:dyDescent="0.25">
      <c r="A269" s="78" t="s">
        <v>34</v>
      </c>
      <c r="B269" s="82"/>
      <c r="C269" s="31"/>
      <c r="D269" s="32">
        <v>0</v>
      </c>
      <c r="E269" s="32">
        <v>0</v>
      </c>
      <c r="F269" s="68" t="e">
        <f t="shared" si="12"/>
        <v>#DIV/0!</v>
      </c>
      <c r="G269" s="32"/>
      <c r="H269" s="33"/>
      <c r="I269" s="34"/>
    </row>
    <row r="270" spans="1:10" ht="11.25" customHeight="1" x14ac:dyDescent="0.25">
      <c r="A270" s="200" t="s">
        <v>35</v>
      </c>
      <c r="B270" s="184" t="s">
        <v>303</v>
      </c>
      <c r="C270" s="31" t="s">
        <v>21</v>
      </c>
      <c r="D270" s="32">
        <v>2828.8</v>
      </c>
      <c r="E270" s="32">
        <v>0</v>
      </c>
      <c r="F270" s="68">
        <f t="shared" si="12"/>
        <v>0</v>
      </c>
      <c r="G270" s="174" t="s">
        <v>333</v>
      </c>
      <c r="H270" s="33">
        <f>D270+D271</f>
        <v>3535.3</v>
      </c>
      <c r="I270" s="34">
        <f>E270+E271</f>
        <v>0</v>
      </c>
      <c r="J270" s="33">
        <f>I270/H270*100</f>
        <v>0</v>
      </c>
    </row>
    <row r="271" spans="1:10" ht="111" customHeight="1" x14ac:dyDescent="0.25">
      <c r="A271" s="201"/>
      <c r="B271" s="185"/>
      <c r="C271" s="31" t="s">
        <v>22</v>
      </c>
      <c r="D271" s="32">
        <v>706.5</v>
      </c>
      <c r="E271" s="32">
        <v>0</v>
      </c>
      <c r="F271" s="68">
        <f t="shared" si="12"/>
        <v>0</v>
      </c>
      <c r="G271" s="175"/>
      <c r="H271" s="33"/>
      <c r="I271" s="34"/>
    </row>
    <row r="272" spans="1:10" ht="25.5" customHeight="1" x14ac:dyDescent="0.25">
      <c r="A272" s="202"/>
      <c r="B272" s="80" t="s">
        <v>302</v>
      </c>
      <c r="C272" s="31" t="s">
        <v>22</v>
      </c>
      <c r="D272" s="32">
        <f>3162.8-706.5</f>
        <v>2456.3000000000002</v>
      </c>
      <c r="E272" s="32">
        <f>2456.3</f>
        <v>2456.3000000000002</v>
      </c>
      <c r="F272" s="68">
        <f t="shared" si="12"/>
        <v>100</v>
      </c>
      <c r="G272" s="32"/>
      <c r="H272" s="33"/>
      <c r="I272" s="34"/>
    </row>
    <row r="273" spans="1:9" ht="0.75" hidden="1" customHeight="1" x14ac:dyDescent="0.25">
      <c r="A273" s="78" t="s">
        <v>37</v>
      </c>
      <c r="B273" s="82"/>
      <c r="C273" s="31"/>
      <c r="D273" s="32">
        <v>0</v>
      </c>
      <c r="E273" s="32">
        <v>0</v>
      </c>
      <c r="F273" s="68" t="e">
        <f t="shared" si="12"/>
        <v>#DIV/0!</v>
      </c>
      <c r="G273" s="32"/>
      <c r="H273" s="33"/>
      <c r="I273" s="34"/>
    </row>
    <row r="274" spans="1:9" ht="12.75" hidden="1" customHeight="1" x14ac:dyDescent="0.25">
      <c r="A274" s="78" t="s">
        <v>38</v>
      </c>
      <c r="B274" s="82"/>
      <c r="C274" s="31"/>
      <c r="D274" s="32">
        <v>0</v>
      </c>
      <c r="E274" s="32">
        <v>0</v>
      </c>
      <c r="F274" s="68" t="e">
        <f t="shared" si="12"/>
        <v>#DIV/0!</v>
      </c>
      <c r="G274" s="32"/>
      <c r="H274" s="33"/>
      <c r="I274" s="34"/>
    </row>
    <row r="275" spans="1:9" hidden="1" x14ac:dyDescent="0.25">
      <c r="A275" s="78" t="s">
        <v>39</v>
      </c>
      <c r="B275" s="82"/>
      <c r="C275" s="31"/>
      <c r="D275" s="32">
        <v>0</v>
      </c>
      <c r="E275" s="32">
        <v>0</v>
      </c>
      <c r="F275" s="68" t="e">
        <f t="shared" si="12"/>
        <v>#DIV/0!</v>
      </c>
      <c r="G275" s="32"/>
      <c r="H275" s="33"/>
      <c r="I275" s="34"/>
    </row>
    <row r="276" spans="1:9" ht="24" customHeight="1" x14ac:dyDescent="0.25">
      <c r="A276" s="171" t="s">
        <v>40</v>
      </c>
      <c r="B276" s="171" t="s">
        <v>249</v>
      </c>
      <c r="C276" s="31" t="s">
        <v>300</v>
      </c>
      <c r="D276" s="32">
        <v>78.5</v>
      </c>
      <c r="E276" s="32">
        <v>78.5</v>
      </c>
      <c r="F276" s="68">
        <f t="shared" si="12"/>
        <v>100</v>
      </c>
      <c r="G276" s="32"/>
      <c r="H276" s="33"/>
      <c r="I276" s="34"/>
    </row>
    <row r="277" spans="1:9" ht="15" customHeight="1" x14ac:dyDescent="0.25">
      <c r="A277" s="172"/>
      <c r="B277" s="172"/>
      <c r="C277" s="31" t="s">
        <v>21</v>
      </c>
      <c r="D277" s="32">
        <f>297.6-78.5</f>
        <v>219.10000000000002</v>
      </c>
      <c r="E277" s="32">
        <v>219.1</v>
      </c>
      <c r="F277" s="68">
        <f t="shared" ref="F277" si="14">E277/D277*100</f>
        <v>99.999999999999986</v>
      </c>
      <c r="G277" s="32"/>
      <c r="H277" s="33"/>
      <c r="I277" s="34"/>
    </row>
    <row r="278" spans="1:9" ht="11.25" customHeight="1" x14ac:dyDescent="0.25">
      <c r="A278" s="173"/>
      <c r="B278" s="173"/>
      <c r="C278" s="31" t="s">
        <v>22</v>
      </c>
      <c r="D278" s="32">
        <v>267.10000000000002</v>
      </c>
      <c r="E278" s="32">
        <v>267.10000000000002</v>
      </c>
      <c r="F278" s="68">
        <f t="shared" si="12"/>
        <v>100</v>
      </c>
      <c r="G278" s="32"/>
      <c r="H278" s="33"/>
      <c r="I278" s="34"/>
    </row>
    <row r="279" spans="1:9" ht="24" hidden="1" x14ac:dyDescent="0.25">
      <c r="A279" s="78" t="s">
        <v>41</v>
      </c>
      <c r="B279" s="82"/>
      <c r="C279" s="31"/>
      <c r="D279" s="32">
        <v>0</v>
      </c>
      <c r="E279" s="32">
        <v>0</v>
      </c>
      <c r="F279" s="68" t="e">
        <f t="shared" si="12"/>
        <v>#DIV/0!</v>
      </c>
      <c r="G279" s="32"/>
      <c r="H279" s="33"/>
      <c r="I279" s="34"/>
    </row>
    <row r="280" spans="1:9" ht="12" customHeight="1" x14ac:dyDescent="0.25">
      <c r="A280" s="186" t="s">
        <v>203</v>
      </c>
      <c r="B280" s="187"/>
      <c r="C280" s="39" t="s">
        <v>296</v>
      </c>
      <c r="D280" s="40">
        <f>SUM(D270:D279)</f>
        <v>6556.3000000000011</v>
      </c>
      <c r="E280" s="40">
        <f>SUM(E270:E279)</f>
        <v>3021</v>
      </c>
      <c r="F280" s="69">
        <f>E280/D280*100</f>
        <v>46.077818281652753</v>
      </c>
      <c r="G280" s="40"/>
      <c r="H280" s="33"/>
      <c r="I280" s="34"/>
    </row>
    <row r="281" spans="1:9" ht="24" x14ac:dyDescent="0.25">
      <c r="A281" s="188"/>
      <c r="B281" s="189"/>
      <c r="C281" s="39" t="s">
        <v>300</v>
      </c>
      <c r="D281" s="40">
        <f>D276</f>
        <v>78.5</v>
      </c>
      <c r="E281" s="40">
        <f>E276</f>
        <v>78.5</v>
      </c>
      <c r="F281" s="69">
        <f t="shared" ref="F281:F283" si="15">E281/D281*100</f>
        <v>100</v>
      </c>
      <c r="G281" s="40"/>
      <c r="H281" s="33"/>
      <c r="I281" s="34"/>
    </row>
    <row r="282" spans="1:9" x14ac:dyDescent="0.25">
      <c r="A282" s="188"/>
      <c r="B282" s="189"/>
      <c r="C282" s="39" t="s">
        <v>21</v>
      </c>
      <c r="D282" s="40">
        <f>D270+D277</f>
        <v>3047.9</v>
      </c>
      <c r="E282" s="40">
        <f>E270+E277</f>
        <v>219.1</v>
      </c>
      <c r="F282" s="69">
        <f t="shared" si="15"/>
        <v>7.1885560549886804</v>
      </c>
      <c r="G282" s="40"/>
      <c r="H282" s="33"/>
      <c r="I282" s="34"/>
    </row>
    <row r="283" spans="1:9" x14ac:dyDescent="0.25">
      <c r="A283" s="190"/>
      <c r="B283" s="191"/>
      <c r="C283" s="39" t="s">
        <v>22</v>
      </c>
      <c r="D283" s="40">
        <f>D264+D265+D266+D267+D268+D269+D271+D272+D273+D275+D278</f>
        <v>3429.9</v>
      </c>
      <c r="E283" s="40">
        <f>E264+E265+E266+E267+E268+E269+E271+E272+E273+E275+E278</f>
        <v>2723.4</v>
      </c>
      <c r="F283" s="69">
        <f t="shared" si="15"/>
        <v>79.401731828916297</v>
      </c>
      <c r="G283" s="40"/>
      <c r="H283" s="33"/>
      <c r="I283" s="34"/>
    </row>
    <row r="284" spans="1:9" ht="12" customHeight="1" x14ac:dyDescent="0.25">
      <c r="A284" s="177" t="s">
        <v>87</v>
      </c>
      <c r="B284" s="178"/>
      <c r="C284" s="178"/>
      <c r="D284" s="178"/>
      <c r="E284" s="178"/>
      <c r="F284" s="178"/>
      <c r="G284" s="179"/>
      <c r="H284" s="33"/>
      <c r="I284" s="34"/>
    </row>
    <row r="285" spans="1:9" ht="26.25" customHeight="1" x14ac:dyDescent="0.25">
      <c r="A285" s="78" t="s">
        <v>30</v>
      </c>
      <c r="B285" s="82" t="s">
        <v>79</v>
      </c>
      <c r="C285" s="31" t="s">
        <v>22</v>
      </c>
      <c r="D285" s="32">
        <v>59.8</v>
      </c>
      <c r="E285" s="32">
        <v>59.8</v>
      </c>
      <c r="F285" s="68">
        <f t="shared" ref="F285:F295" si="16">E285/D285*100</f>
        <v>100</v>
      </c>
      <c r="G285" s="32"/>
      <c r="H285" s="33"/>
      <c r="I285" s="34"/>
    </row>
    <row r="286" spans="1:9" ht="37.5" customHeight="1" x14ac:dyDescent="0.25">
      <c r="A286" s="78" t="s">
        <v>31</v>
      </c>
      <c r="B286" s="82" t="s">
        <v>118</v>
      </c>
      <c r="C286" s="31" t="s">
        <v>22</v>
      </c>
      <c r="D286" s="32">
        <v>60</v>
      </c>
      <c r="E286" s="32">
        <v>60</v>
      </c>
      <c r="F286" s="68">
        <f t="shared" si="16"/>
        <v>100</v>
      </c>
      <c r="G286" s="32"/>
      <c r="H286" s="33"/>
      <c r="I286" s="34"/>
    </row>
    <row r="287" spans="1:9" ht="38.25" customHeight="1" x14ac:dyDescent="0.25">
      <c r="A287" s="78" t="s">
        <v>32</v>
      </c>
      <c r="B287" s="82" t="s">
        <v>130</v>
      </c>
      <c r="C287" s="31" t="s">
        <v>22</v>
      </c>
      <c r="D287" s="32">
        <v>175.6</v>
      </c>
      <c r="E287" s="32">
        <v>175.6</v>
      </c>
      <c r="F287" s="68">
        <f t="shared" si="16"/>
        <v>100</v>
      </c>
      <c r="G287" s="32"/>
      <c r="H287" s="33"/>
      <c r="I287" s="34"/>
    </row>
    <row r="288" spans="1:9" ht="37.5" customHeight="1" x14ac:dyDescent="0.25">
      <c r="A288" s="78" t="s">
        <v>36</v>
      </c>
      <c r="B288" s="82" t="s">
        <v>154</v>
      </c>
      <c r="C288" s="31" t="s">
        <v>22</v>
      </c>
      <c r="D288" s="32">
        <v>120</v>
      </c>
      <c r="E288" s="32">
        <v>120</v>
      </c>
      <c r="F288" s="68">
        <f t="shared" si="16"/>
        <v>100</v>
      </c>
      <c r="G288" s="32"/>
      <c r="H288" s="33"/>
      <c r="I288" s="34"/>
    </row>
    <row r="289" spans="1:10" ht="37.5" customHeight="1" x14ac:dyDescent="0.25">
      <c r="A289" s="78" t="s">
        <v>33</v>
      </c>
      <c r="B289" s="82" t="s">
        <v>163</v>
      </c>
      <c r="C289" s="31" t="s">
        <v>22</v>
      </c>
      <c r="D289" s="32">
        <v>95.5</v>
      </c>
      <c r="E289" s="32">
        <v>95.5</v>
      </c>
      <c r="F289" s="68">
        <f t="shared" si="16"/>
        <v>100</v>
      </c>
      <c r="G289" s="32"/>
      <c r="H289" s="33"/>
      <c r="I289" s="34"/>
    </row>
    <row r="290" spans="1:10" ht="37.5" customHeight="1" x14ac:dyDescent="0.25">
      <c r="A290" s="78" t="s">
        <v>34</v>
      </c>
      <c r="B290" s="82" t="s">
        <v>62</v>
      </c>
      <c r="C290" s="31" t="s">
        <v>22</v>
      </c>
      <c r="D290" s="32">
        <v>70</v>
      </c>
      <c r="E290" s="32">
        <v>70</v>
      </c>
      <c r="F290" s="68">
        <f t="shared" si="16"/>
        <v>100</v>
      </c>
      <c r="G290" s="32"/>
      <c r="H290" s="33"/>
      <c r="I290" s="34"/>
    </row>
    <row r="291" spans="1:10" ht="26.25" customHeight="1" x14ac:dyDescent="0.25">
      <c r="A291" s="78" t="s">
        <v>37</v>
      </c>
      <c r="B291" s="82" t="s">
        <v>197</v>
      </c>
      <c r="C291" s="31" t="s">
        <v>22</v>
      </c>
      <c r="D291" s="32">
        <v>85.7</v>
      </c>
      <c r="E291" s="32">
        <v>85.7</v>
      </c>
      <c r="F291" s="68">
        <f t="shared" si="16"/>
        <v>100</v>
      </c>
      <c r="G291" s="32"/>
      <c r="H291" s="33"/>
      <c r="I291" s="34"/>
    </row>
    <row r="292" spans="1:10" ht="38.25" customHeight="1" x14ac:dyDescent="0.25">
      <c r="A292" s="78" t="s">
        <v>38</v>
      </c>
      <c r="B292" s="82" t="s">
        <v>337</v>
      </c>
      <c r="C292" s="31" t="s">
        <v>22</v>
      </c>
      <c r="D292" s="32">
        <v>95.3</v>
      </c>
      <c r="E292" s="32">
        <v>95.3</v>
      </c>
      <c r="F292" s="68">
        <f t="shared" si="16"/>
        <v>100</v>
      </c>
      <c r="G292" s="32"/>
      <c r="H292" s="33"/>
      <c r="I292" s="34"/>
    </row>
    <row r="293" spans="1:10" ht="36" x14ac:dyDescent="0.25">
      <c r="A293" s="78" t="s">
        <v>39</v>
      </c>
      <c r="B293" s="82" t="s">
        <v>241</v>
      </c>
      <c r="C293" s="31" t="s">
        <v>22</v>
      </c>
      <c r="D293" s="32">
        <v>336</v>
      </c>
      <c r="E293" s="32">
        <v>300.60000000000002</v>
      </c>
      <c r="F293" s="68">
        <f t="shared" si="16"/>
        <v>89.464285714285722</v>
      </c>
      <c r="G293" s="32" t="s">
        <v>367</v>
      </c>
      <c r="H293" s="33"/>
      <c r="I293" s="34"/>
    </row>
    <row r="294" spans="1:10" ht="36.75" customHeight="1" x14ac:dyDescent="0.25">
      <c r="A294" s="78" t="s">
        <v>40</v>
      </c>
      <c r="B294" s="82" t="s">
        <v>272</v>
      </c>
      <c r="C294" s="31" t="s">
        <v>22</v>
      </c>
      <c r="D294" s="32">
        <v>3986.5</v>
      </c>
      <c r="E294" s="32">
        <v>3949.4</v>
      </c>
      <c r="F294" s="68">
        <f t="shared" si="16"/>
        <v>99.069359086918354</v>
      </c>
      <c r="G294" s="32" t="s">
        <v>416</v>
      </c>
      <c r="H294" s="33"/>
      <c r="I294" s="34"/>
    </row>
    <row r="295" spans="1:10" ht="51.75" customHeight="1" x14ac:dyDescent="0.25">
      <c r="A295" s="78" t="s">
        <v>41</v>
      </c>
      <c r="B295" s="82" t="s">
        <v>105</v>
      </c>
      <c r="C295" s="31" t="s">
        <v>22</v>
      </c>
      <c r="D295" s="32">
        <v>103.8</v>
      </c>
      <c r="E295" s="32">
        <v>103.8</v>
      </c>
      <c r="F295" s="68">
        <f t="shared" si="16"/>
        <v>100</v>
      </c>
      <c r="G295" s="32"/>
      <c r="H295" s="33"/>
      <c r="I295" s="34"/>
    </row>
    <row r="296" spans="1:10" ht="12" customHeight="1" x14ac:dyDescent="0.25">
      <c r="A296" s="176" t="s">
        <v>203</v>
      </c>
      <c r="B296" s="176"/>
      <c r="C296" s="39" t="s">
        <v>296</v>
      </c>
      <c r="D296" s="40">
        <f>SUM(D285:D295)</f>
        <v>5188.2</v>
      </c>
      <c r="E296" s="40">
        <f>SUM(E285:E295)</f>
        <v>5115.7</v>
      </c>
      <c r="F296" s="69">
        <f>E296/D296*100</f>
        <v>98.602598203615898</v>
      </c>
      <c r="G296" s="40"/>
      <c r="H296" s="33"/>
      <c r="I296" s="34"/>
    </row>
    <row r="297" spans="1:10" x14ac:dyDescent="0.25">
      <c r="A297" s="176"/>
      <c r="B297" s="176"/>
      <c r="C297" s="39" t="s">
        <v>22</v>
      </c>
      <c r="D297" s="40">
        <f>D285+D286+D287+D288+D289+D290+D291+D292+D293+D294+D295</f>
        <v>5188.2</v>
      </c>
      <c r="E297" s="40">
        <f>E285+E286+E287+E288+E289+E290+E291+E292+E293+E294+E295</f>
        <v>5115.7</v>
      </c>
      <c r="F297" s="69">
        <f>E297/D297*100</f>
        <v>98.602598203615898</v>
      </c>
      <c r="G297" s="40"/>
      <c r="H297" s="33"/>
      <c r="I297" s="34"/>
    </row>
    <row r="298" spans="1:10" x14ac:dyDescent="0.25">
      <c r="A298" s="177" t="s">
        <v>403</v>
      </c>
      <c r="B298" s="178"/>
      <c r="C298" s="178"/>
      <c r="D298" s="178"/>
      <c r="E298" s="178"/>
      <c r="F298" s="178"/>
      <c r="G298" s="179"/>
      <c r="H298" s="33"/>
      <c r="I298" s="34"/>
    </row>
    <row r="299" spans="1:10" x14ac:dyDescent="0.25">
      <c r="A299" s="171" t="s">
        <v>30</v>
      </c>
      <c r="B299" s="184" t="s">
        <v>279</v>
      </c>
      <c r="C299" s="31" t="s">
        <v>21</v>
      </c>
      <c r="D299" s="32">
        <v>1460.9</v>
      </c>
      <c r="E299" s="32">
        <v>1460.9</v>
      </c>
      <c r="F299" s="68">
        <f t="shared" si="12"/>
        <v>100</v>
      </c>
      <c r="G299" s="32"/>
      <c r="H299" s="33"/>
      <c r="I299" s="34"/>
    </row>
    <row r="300" spans="1:10" ht="24" customHeight="1" x14ac:dyDescent="0.25">
      <c r="A300" s="172"/>
      <c r="B300" s="185"/>
      <c r="C300" s="31" t="s">
        <v>22</v>
      </c>
      <c r="D300" s="32">
        <v>662.1</v>
      </c>
      <c r="E300" s="32">
        <v>662.13</v>
      </c>
      <c r="F300" s="68">
        <f t="shared" si="12"/>
        <v>100.00453103760761</v>
      </c>
      <c r="G300" s="32"/>
      <c r="H300" s="33"/>
      <c r="I300" s="34"/>
    </row>
    <row r="301" spans="1:10" ht="25.5" customHeight="1" x14ac:dyDescent="0.25">
      <c r="A301" s="172"/>
      <c r="B301" s="82" t="s">
        <v>80</v>
      </c>
      <c r="C301" s="31" t="s">
        <v>22</v>
      </c>
      <c r="D301" s="32">
        <v>2472.1999999999998</v>
      </c>
      <c r="E301" s="32">
        <v>2472.1999999999998</v>
      </c>
      <c r="F301" s="68">
        <f t="shared" si="12"/>
        <v>100</v>
      </c>
      <c r="G301" s="32"/>
      <c r="H301" s="33"/>
      <c r="I301" s="34"/>
    </row>
    <row r="302" spans="1:10" ht="51.75" customHeight="1" x14ac:dyDescent="0.25">
      <c r="A302" s="172"/>
      <c r="B302" s="82" t="s">
        <v>75</v>
      </c>
      <c r="C302" s="31" t="s">
        <v>22</v>
      </c>
      <c r="D302" s="32">
        <v>188.4</v>
      </c>
      <c r="E302" s="32">
        <v>188.4</v>
      </c>
      <c r="F302" s="68">
        <f t="shared" si="12"/>
        <v>100</v>
      </c>
      <c r="G302" s="32"/>
      <c r="H302" s="33"/>
      <c r="I302" s="34"/>
    </row>
    <row r="303" spans="1:10" ht="40.5" customHeight="1" x14ac:dyDescent="0.25">
      <c r="A303" s="173"/>
      <c r="B303" s="79" t="s">
        <v>86</v>
      </c>
      <c r="C303" s="31" t="s">
        <v>22</v>
      </c>
      <c r="D303" s="32">
        <v>49.8</v>
      </c>
      <c r="E303" s="32">
        <v>49.8</v>
      </c>
      <c r="F303" s="68">
        <f t="shared" si="12"/>
        <v>100</v>
      </c>
      <c r="G303" s="32"/>
      <c r="H303" s="33"/>
      <c r="I303" s="34"/>
    </row>
    <row r="304" spans="1:10" ht="12.75" customHeight="1" x14ac:dyDescent="0.25">
      <c r="A304" s="200" t="s">
        <v>31</v>
      </c>
      <c r="B304" s="184" t="s">
        <v>304</v>
      </c>
      <c r="C304" s="31" t="s">
        <v>21</v>
      </c>
      <c r="D304" s="32">
        <v>2812.7</v>
      </c>
      <c r="E304" s="32">
        <v>2812.7</v>
      </c>
      <c r="F304" s="68">
        <f t="shared" ref="F304:F306" si="17">E304/D304*100</f>
        <v>100</v>
      </c>
      <c r="G304" s="32"/>
      <c r="H304" s="33">
        <f>D304+D306</f>
        <v>3112.7</v>
      </c>
      <c r="I304" s="34">
        <f>E304+E306</f>
        <v>3112.7</v>
      </c>
      <c r="J304" s="33">
        <f>I304/H304*100</f>
        <v>100</v>
      </c>
    </row>
    <row r="305" spans="1:10" ht="23.25" customHeight="1" x14ac:dyDescent="0.25">
      <c r="A305" s="201"/>
      <c r="B305" s="185"/>
      <c r="C305" s="31" t="s">
        <v>22</v>
      </c>
      <c r="D305" s="32">
        <v>1776.9</v>
      </c>
      <c r="E305" s="32">
        <v>1776.94</v>
      </c>
      <c r="F305" s="68">
        <f t="shared" si="17"/>
        <v>100.00225111148629</v>
      </c>
      <c r="G305" s="32"/>
      <c r="H305" s="33"/>
      <c r="I305" s="34"/>
    </row>
    <row r="306" spans="1:10" ht="13.5" customHeight="1" x14ac:dyDescent="0.25">
      <c r="A306" s="201"/>
      <c r="B306" s="171" t="s">
        <v>119</v>
      </c>
      <c r="C306" s="31" t="s">
        <v>21</v>
      </c>
      <c r="D306" s="32">
        <f>3112.7-2812.7</f>
        <v>300</v>
      </c>
      <c r="E306" s="32">
        <f>3112.7-2812.7</f>
        <v>300</v>
      </c>
      <c r="F306" s="68">
        <f t="shared" si="17"/>
        <v>100</v>
      </c>
      <c r="G306" s="174" t="s">
        <v>338</v>
      </c>
      <c r="H306" s="33">
        <f>D306+D307</f>
        <v>14554.800000000001</v>
      </c>
      <c r="I306" s="33">
        <f>E306+E307</f>
        <v>13922.7</v>
      </c>
      <c r="J306" s="33">
        <f>I306/H306*100</f>
        <v>95.65710281144365</v>
      </c>
    </row>
    <row r="307" spans="1:10" ht="75" customHeight="1" x14ac:dyDescent="0.25">
      <c r="A307" s="202"/>
      <c r="B307" s="173"/>
      <c r="C307" s="31" t="s">
        <v>22</v>
      </c>
      <c r="D307" s="32">
        <f>16031.7-1776.9</f>
        <v>14254.800000000001</v>
      </c>
      <c r="E307" s="32">
        <f>15399.6-1776.9</f>
        <v>13622.7</v>
      </c>
      <c r="F307" s="68">
        <f t="shared" si="12"/>
        <v>95.565704183853867</v>
      </c>
      <c r="G307" s="175"/>
      <c r="H307" s="33"/>
      <c r="I307" s="34"/>
    </row>
    <row r="308" spans="1:10" x14ac:dyDescent="0.25">
      <c r="A308" s="171" t="s">
        <v>32</v>
      </c>
      <c r="B308" s="184" t="s">
        <v>305</v>
      </c>
      <c r="C308" s="31" t="s">
        <v>21</v>
      </c>
      <c r="D308" s="32">
        <v>2345.6</v>
      </c>
      <c r="E308" s="32">
        <v>2345.6</v>
      </c>
      <c r="F308" s="68">
        <f t="shared" si="12"/>
        <v>100</v>
      </c>
      <c r="G308" s="32"/>
      <c r="H308" s="33"/>
      <c r="I308" s="34"/>
    </row>
    <row r="309" spans="1:10" ht="29.25" customHeight="1" x14ac:dyDescent="0.25">
      <c r="A309" s="172"/>
      <c r="B309" s="185"/>
      <c r="C309" s="31" t="s">
        <v>22</v>
      </c>
      <c r="D309" s="32">
        <v>853.2</v>
      </c>
      <c r="E309" s="32">
        <v>853.2</v>
      </c>
      <c r="F309" s="68">
        <f t="shared" si="12"/>
        <v>100</v>
      </c>
      <c r="G309" s="32"/>
      <c r="H309" s="33"/>
      <c r="I309" s="34"/>
    </row>
    <row r="310" spans="1:10" ht="29.25" customHeight="1" x14ac:dyDescent="0.25">
      <c r="A310" s="172"/>
      <c r="B310" s="82" t="s">
        <v>126</v>
      </c>
      <c r="C310" s="31" t="s">
        <v>22</v>
      </c>
      <c r="D310" s="32">
        <f>3071.4+188.8</f>
        <v>3260.2000000000003</v>
      </c>
      <c r="E310" s="32">
        <f>3071.4+188.8</f>
        <v>3260.2000000000003</v>
      </c>
      <c r="F310" s="68">
        <f t="shared" si="12"/>
        <v>100</v>
      </c>
      <c r="G310" s="32"/>
      <c r="H310" s="33"/>
      <c r="I310" s="34"/>
    </row>
    <row r="311" spans="1:10" ht="75.75" customHeight="1" x14ac:dyDescent="0.25">
      <c r="A311" s="173"/>
      <c r="B311" s="44" t="s">
        <v>133</v>
      </c>
      <c r="C311" s="31" t="s">
        <v>22</v>
      </c>
      <c r="D311" s="32">
        <v>121.7</v>
      </c>
      <c r="E311" s="32">
        <v>121.7</v>
      </c>
      <c r="F311" s="68">
        <f t="shared" si="12"/>
        <v>100</v>
      </c>
      <c r="G311" s="32"/>
      <c r="H311" s="33"/>
      <c r="I311" s="34"/>
    </row>
    <row r="312" spans="1:10" ht="12" customHeight="1" x14ac:dyDescent="0.25">
      <c r="A312" s="171" t="s">
        <v>36</v>
      </c>
      <c r="B312" s="184" t="s">
        <v>306</v>
      </c>
      <c r="C312" s="31" t="s">
        <v>21</v>
      </c>
      <c r="D312" s="32">
        <v>3164.5</v>
      </c>
      <c r="E312" s="32">
        <v>3164.5</v>
      </c>
      <c r="F312" s="68">
        <f t="shared" si="12"/>
        <v>100</v>
      </c>
      <c r="G312" s="32"/>
      <c r="H312" s="33">
        <f>D312+D313</f>
        <v>4404.3999999999996</v>
      </c>
      <c r="I312" s="34">
        <f>E312+E313</f>
        <v>4404.3999999999996</v>
      </c>
      <c r="J312" s="33">
        <f>I312/H312*100</f>
        <v>100</v>
      </c>
    </row>
    <row r="313" spans="1:10" ht="24.75" customHeight="1" x14ac:dyDescent="0.25">
      <c r="A313" s="172"/>
      <c r="B313" s="185"/>
      <c r="C313" s="31" t="s">
        <v>22</v>
      </c>
      <c r="D313" s="32">
        <v>1239.9000000000001</v>
      </c>
      <c r="E313" s="32">
        <v>1239.9000000000001</v>
      </c>
      <c r="F313" s="68">
        <f t="shared" si="12"/>
        <v>100</v>
      </c>
      <c r="G313" s="32"/>
      <c r="H313" s="33"/>
      <c r="I313" s="34"/>
    </row>
    <row r="314" spans="1:10" ht="85.5" customHeight="1" x14ac:dyDescent="0.25">
      <c r="A314" s="173"/>
      <c r="B314" s="81" t="s">
        <v>135</v>
      </c>
      <c r="C314" s="31" t="s">
        <v>22</v>
      </c>
      <c r="D314" s="32">
        <f>21073.9-1239.9</f>
        <v>19834</v>
      </c>
      <c r="E314" s="32">
        <f>20855.5-1239.9</f>
        <v>19615.599999999999</v>
      </c>
      <c r="F314" s="68">
        <f t="shared" si="12"/>
        <v>98.89886054250276</v>
      </c>
      <c r="G314" s="32" t="s">
        <v>370</v>
      </c>
      <c r="H314" s="33"/>
      <c r="I314" s="34"/>
    </row>
    <row r="315" spans="1:10" ht="12.75" customHeight="1" x14ac:dyDescent="0.25">
      <c r="A315" s="171" t="s">
        <v>33</v>
      </c>
      <c r="B315" s="184" t="s">
        <v>325</v>
      </c>
      <c r="C315" s="31" t="s">
        <v>21</v>
      </c>
      <c r="D315" s="32">
        <f>2995.8-297</f>
        <v>2698.8</v>
      </c>
      <c r="E315" s="32">
        <f>2904.75-295.6</f>
        <v>2609.15</v>
      </c>
      <c r="F315" s="68">
        <f t="shared" ref="F315:F316" si="18">E315/D315*100</f>
        <v>96.678153253297765</v>
      </c>
      <c r="G315" s="174" t="s">
        <v>362</v>
      </c>
      <c r="H315" s="33">
        <f>D315+D316</f>
        <v>3354</v>
      </c>
      <c r="I315" s="33">
        <f>E315+E316</f>
        <v>3264.3500000000004</v>
      </c>
      <c r="J315" s="33">
        <f>I315/H315*100</f>
        <v>97.327072152653557</v>
      </c>
    </row>
    <row r="316" spans="1:10" ht="53.25" customHeight="1" x14ac:dyDescent="0.25">
      <c r="A316" s="172"/>
      <c r="B316" s="185"/>
      <c r="C316" s="31" t="s">
        <v>22</v>
      </c>
      <c r="D316" s="32">
        <f>1182.7-527.5</f>
        <v>655.20000000000005</v>
      </c>
      <c r="E316" s="32">
        <f>1173.7-518.5</f>
        <v>655.20000000000005</v>
      </c>
      <c r="F316" s="68">
        <f t="shared" si="18"/>
        <v>100</v>
      </c>
      <c r="G316" s="175"/>
      <c r="H316" s="33"/>
      <c r="I316" s="34"/>
    </row>
    <row r="317" spans="1:10" ht="63.75" customHeight="1" x14ac:dyDescent="0.25">
      <c r="A317" s="172"/>
      <c r="B317" s="79" t="s">
        <v>164</v>
      </c>
      <c r="C317" s="31" t="s">
        <v>22</v>
      </c>
      <c r="D317" s="32">
        <f>7757.9-1182.7+527.5</f>
        <v>7102.7</v>
      </c>
      <c r="E317" s="32">
        <f>7716.6-1173.7+518.5</f>
        <v>7061.4000000000005</v>
      </c>
      <c r="F317" s="68">
        <f>E317/D317*100</f>
        <v>99.418530981176175</v>
      </c>
      <c r="G317" s="32" t="s">
        <v>361</v>
      </c>
      <c r="H317" s="33"/>
      <c r="I317" s="34"/>
    </row>
    <row r="318" spans="1:10" x14ac:dyDescent="0.25">
      <c r="A318" s="172"/>
      <c r="B318" s="184" t="s">
        <v>326</v>
      </c>
      <c r="C318" s="31" t="s">
        <v>21</v>
      </c>
      <c r="D318" s="32">
        <v>297</v>
      </c>
      <c r="E318" s="32">
        <v>295.60000000000002</v>
      </c>
      <c r="F318" s="68">
        <f t="shared" si="12"/>
        <v>99.528619528619529</v>
      </c>
      <c r="G318" s="174" t="s">
        <v>385</v>
      </c>
      <c r="H318" s="33">
        <f>D318+D319</f>
        <v>824.5</v>
      </c>
      <c r="I318" s="34">
        <f>E318+E319</f>
        <v>814.1</v>
      </c>
      <c r="J318" s="33">
        <f>I318/H318*100</f>
        <v>98.738629472407524</v>
      </c>
    </row>
    <row r="319" spans="1:10" ht="51.75" customHeight="1" x14ac:dyDescent="0.25">
      <c r="A319" s="172"/>
      <c r="B319" s="185"/>
      <c r="C319" s="31" t="s">
        <v>22</v>
      </c>
      <c r="D319" s="32">
        <v>527.5</v>
      </c>
      <c r="E319" s="32">
        <v>518.5</v>
      </c>
      <c r="F319" s="68">
        <f t="shared" si="12"/>
        <v>98.293838862559241</v>
      </c>
      <c r="G319" s="175"/>
      <c r="H319" s="33"/>
      <c r="I319" s="34"/>
    </row>
    <row r="320" spans="1:10" ht="63.75" customHeight="1" x14ac:dyDescent="0.25">
      <c r="A320" s="173"/>
      <c r="B320" s="81" t="s">
        <v>165</v>
      </c>
      <c r="C320" s="31" t="s">
        <v>22</v>
      </c>
      <c r="D320" s="32">
        <v>106</v>
      </c>
      <c r="E320" s="32">
        <v>106</v>
      </c>
      <c r="F320" s="68">
        <f t="shared" si="12"/>
        <v>100</v>
      </c>
      <c r="G320" s="32"/>
      <c r="H320" s="33"/>
      <c r="I320" s="34"/>
    </row>
    <row r="321" spans="1:10" ht="14.25" customHeight="1" x14ac:dyDescent="0.25">
      <c r="A321" s="171" t="s">
        <v>34</v>
      </c>
      <c r="B321" s="184" t="s">
        <v>307</v>
      </c>
      <c r="C321" s="31" t="s">
        <v>21</v>
      </c>
      <c r="D321" s="32">
        <v>2623.9</v>
      </c>
      <c r="E321" s="32">
        <v>2623.88</v>
      </c>
      <c r="F321" s="68">
        <f t="shared" si="12"/>
        <v>99.999237775829869</v>
      </c>
      <c r="G321" s="32"/>
      <c r="H321" s="33">
        <f>D321+D322</f>
        <v>3563.1000000000004</v>
      </c>
      <c r="I321" s="34">
        <f>E321+E322</f>
        <v>3563.08</v>
      </c>
      <c r="J321" s="33">
        <f>I321/H321*100</f>
        <v>99.999438691027464</v>
      </c>
    </row>
    <row r="322" spans="1:10" ht="23.25" customHeight="1" x14ac:dyDescent="0.25">
      <c r="A322" s="172"/>
      <c r="B322" s="185"/>
      <c r="C322" s="31" t="s">
        <v>22</v>
      </c>
      <c r="D322" s="32">
        <v>939.2</v>
      </c>
      <c r="E322" s="32">
        <v>939.2</v>
      </c>
      <c r="F322" s="68">
        <f t="shared" si="12"/>
        <v>100</v>
      </c>
      <c r="G322" s="32"/>
      <c r="H322" s="33"/>
      <c r="I322" s="34"/>
    </row>
    <row r="323" spans="1:10" ht="14.25" customHeight="1" x14ac:dyDescent="0.25">
      <c r="A323" s="172"/>
      <c r="B323" s="184" t="s">
        <v>42</v>
      </c>
      <c r="C323" s="31" t="s">
        <v>21</v>
      </c>
      <c r="D323" s="32">
        <f>3323.9-D321</f>
        <v>700</v>
      </c>
      <c r="E323" s="32">
        <f>3323.9-E321</f>
        <v>700.02</v>
      </c>
      <c r="F323" s="68">
        <f t="shared" ref="F323:F324" si="19">E323/D323*100</f>
        <v>100.00285714285715</v>
      </c>
      <c r="G323" s="174" t="s">
        <v>386</v>
      </c>
      <c r="H323" s="33">
        <f>D323+D324</f>
        <v>5031.2</v>
      </c>
      <c r="I323" s="34">
        <f>E323+E324</f>
        <v>5023.6200000000008</v>
      </c>
      <c r="J323" s="33">
        <f>I323/H323*100</f>
        <v>99.84934011766579</v>
      </c>
    </row>
    <row r="324" spans="1:10" ht="24" customHeight="1" x14ac:dyDescent="0.25">
      <c r="A324" s="172"/>
      <c r="B324" s="185"/>
      <c r="C324" s="31" t="s">
        <v>22</v>
      </c>
      <c r="D324" s="32">
        <f>5270.4-D322</f>
        <v>4331.2</v>
      </c>
      <c r="E324" s="32">
        <f>5262.8-E322</f>
        <v>4323.6000000000004</v>
      </c>
      <c r="F324" s="68">
        <f t="shared" si="19"/>
        <v>99.824528998891765</v>
      </c>
      <c r="G324" s="175"/>
      <c r="H324" s="33"/>
      <c r="I324" s="34"/>
    </row>
    <row r="325" spans="1:10" ht="127.5" customHeight="1" x14ac:dyDescent="0.25">
      <c r="A325" s="172"/>
      <c r="B325" s="81" t="s">
        <v>285</v>
      </c>
      <c r="C325" s="73" t="s">
        <v>22</v>
      </c>
      <c r="D325" s="59">
        <v>768.8</v>
      </c>
      <c r="E325" s="59">
        <v>767.8</v>
      </c>
      <c r="F325" s="68">
        <f t="shared" si="12"/>
        <v>99.869927159209155</v>
      </c>
      <c r="G325" s="32" t="s">
        <v>381</v>
      </c>
      <c r="H325" s="33"/>
      <c r="I325" s="34"/>
    </row>
    <row r="326" spans="1:10" x14ac:dyDescent="0.25">
      <c r="A326" s="171" t="s">
        <v>35</v>
      </c>
      <c r="B326" s="184" t="s">
        <v>308</v>
      </c>
      <c r="C326" s="31" t="s">
        <v>21</v>
      </c>
      <c r="D326" s="32">
        <v>3637.9</v>
      </c>
      <c r="E326" s="32">
        <v>3637.88</v>
      </c>
      <c r="F326" s="68">
        <f t="shared" ref="F326:F327" si="20">E326/D326*100</f>
        <v>99.999450232276871</v>
      </c>
      <c r="G326" s="174" t="s">
        <v>361</v>
      </c>
      <c r="H326" s="33">
        <f>D326+D327</f>
        <v>5417.3</v>
      </c>
      <c r="I326" s="33">
        <f>E326+E327</f>
        <v>5397.08</v>
      </c>
      <c r="J326" s="33">
        <f>I326/H326*100</f>
        <v>99.626751333690208</v>
      </c>
    </row>
    <row r="327" spans="1:10" ht="54" customHeight="1" x14ac:dyDescent="0.25">
      <c r="A327" s="172"/>
      <c r="B327" s="185"/>
      <c r="C327" s="31" t="s">
        <v>22</v>
      </c>
      <c r="D327" s="32">
        <v>1779.4</v>
      </c>
      <c r="E327" s="32">
        <v>1759.2</v>
      </c>
      <c r="F327" s="68">
        <f t="shared" si="20"/>
        <v>98.864785882881861</v>
      </c>
      <c r="G327" s="175"/>
      <c r="H327" s="33"/>
      <c r="I327" s="34"/>
    </row>
    <row r="328" spans="1:10" x14ac:dyDescent="0.25">
      <c r="A328" s="172"/>
      <c r="B328" s="184" t="s">
        <v>173</v>
      </c>
      <c r="C328" s="31" t="s">
        <v>21</v>
      </c>
      <c r="D328" s="32">
        <f>4237.9-D326</f>
        <v>599.99999999999955</v>
      </c>
      <c r="E328" s="32">
        <f>4237.9-E326</f>
        <v>600.01999999999953</v>
      </c>
      <c r="F328" s="68">
        <f>E328/D328*100</f>
        <v>100.00333333333333</v>
      </c>
      <c r="G328" s="174" t="s">
        <v>330</v>
      </c>
      <c r="H328" s="33">
        <f>D328+D329</f>
        <v>10604.5</v>
      </c>
      <c r="I328" s="33">
        <f>E328+E329</f>
        <v>9145.619999999999</v>
      </c>
      <c r="J328" s="33">
        <f>I328/H328*100</f>
        <v>86.242821443726712</v>
      </c>
    </row>
    <row r="329" spans="1:10" ht="123" customHeight="1" x14ac:dyDescent="0.25">
      <c r="A329" s="173"/>
      <c r="B329" s="185"/>
      <c r="C329" s="31" t="s">
        <v>22</v>
      </c>
      <c r="D329" s="32">
        <f>11783.9-D327</f>
        <v>10004.5</v>
      </c>
      <c r="E329" s="32">
        <f>10304.8-E327</f>
        <v>8545.5999999999985</v>
      </c>
      <c r="F329" s="68">
        <f>E329/D329*100</f>
        <v>85.417562097056305</v>
      </c>
      <c r="G329" s="175"/>
      <c r="H329" s="33"/>
      <c r="I329" s="34"/>
    </row>
    <row r="330" spans="1:10" ht="12.75" customHeight="1" x14ac:dyDescent="0.25">
      <c r="A330" s="171" t="s">
        <v>37</v>
      </c>
      <c r="B330" s="184" t="s">
        <v>286</v>
      </c>
      <c r="C330" s="31" t="s">
        <v>21</v>
      </c>
      <c r="D330" s="32">
        <v>2294.1999999999998</v>
      </c>
      <c r="E330" s="32">
        <v>2238.9499999999998</v>
      </c>
      <c r="F330" s="68">
        <f t="shared" si="12"/>
        <v>97.591753116554798</v>
      </c>
      <c r="G330" s="174" t="s">
        <v>375</v>
      </c>
      <c r="H330" s="33">
        <f>D330+D331</f>
        <v>3910.34</v>
      </c>
      <c r="I330" s="34">
        <f>E330+E331</f>
        <v>3855.0499999999997</v>
      </c>
      <c r="J330" s="33">
        <f>I330/H330*100</f>
        <v>98.586056455448883</v>
      </c>
    </row>
    <row r="331" spans="1:10" ht="27" customHeight="1" x14ac:dyDescent="0.25">
      <c r="A331" s="172"/>
      <c r="B331" s="185"/>
      <c r="C331" s="31" t="s">
        <v>22</v>
      </c>
      <c r="D331" s="32">
        <v>1616.14</v>
      </c>
      <c r="E331" s="32">
        <v>1616.1</v>
      </c>
      <c r="F331" s="68">
        <f t="shared" si="12"/>
        <v>99.997524966896421</v>
      </c>
      <c r="G331" s="175"/>
      <c r="H331" s="33"/>
      <c r="I331" s="34"/>
    </row>
    <row r="332" spans="1:10" ht="135.75" customHeight="1" x14ac:dyDescent="0.25">
      <c r="A332" s="172"/>
      <c r="B332" s="82" t="s">
        <v>198</v>
      </c>
      <c r="C332" s="31" t="s">
        <v>22</v>
      </c>
      <c r="D332" s="32">
        <v>10236</v>
      </c>
      <c r="E332" s="32">
        <v>9960.2999999999993</v>
      </c>
      <c r="F332" s="68">
        <f t="shared" si="12"/>
        <v>97.306565064478306</v>
      </c>
      <c r="G332" s="32" t="s">
        <v>344</v>
      </c>
      <c r="H332" s="33"/>
      <c r="I332" s="34"/>
    </row>
    <row r="333" spans="1:10" ht="52.5" customHeight="1" x14ac:dyDescent="0.25">
      <c r="A333" s="173"/>
      <c r="B333" s="82" t="s">
        <v>200</v>
      </c>
      <c r="C333" s="31" t="s">
        <v>22</v>
      </c>
      <c r="D333" s="32">
        <v>102.2</v>
      </c>
      <c r="E333" s="32">
        <v>102.2</v>
      </c>
      <c r="F333" s="68">
        <f t="shared" si="12"/>
        <v>100</v>
      </c>
      <c r="G333" s="32"/>
      <c r="H333" s="33"/>
      <c r="I333" s="34"/>
    </row>
    <row r="334" spans="1:10" ht="24" customHeight="1" x14ac:dyDescent="0.25">
      <c r="A334" s="171" t="s">
        <v>38</v>
      </c>
      <c r="B334" s="184" t="s">
        <v>309</v>
      </c>
      <c r="C334" s="31" t="s">
        <v>300</v>
      </c>
      <c r="D334" s="32">
        <v>720</v>
      </c>
      <c r="E334" s="32">
        <v>720</v>
      </c>
      <c r="F334" s="68">
        <f t="shared" si="12"/>
        <v>100</v>
      </c>
      <c r="G334" s="32"/>
      <c r="H334" s="33"/>
      <c r="I334" s="34"/>
    </row>
    <row r="335" spans="1:10" ht="12" customHeight="1" x14ac:dyDescent="0.25">
      <c r="A335" s="172"/>
      <c r="B335" s="203"/>
      <c r="C335" s="31" t="s">
        <v>21</v>
      </c>
      <c r="D335" s="32">
        <v>4021.1</v>
      </c>
      <c r="E335" s="32">
        <v>4021.1</v>
      </c>
      <c r="F335" s="68">
        <f t="shared" si="12"/>
        <v>100</v>
      </c>
      <c r="G335" s="32"/>
      <c r="H335" s="33"/>
      <c r="I335" s="34"/>
    </row>
    <row r="336" spans="1:10" x14ac:dyDescent="0.25">
      <c r="A336" s="172"/>
      <c r="B336" s="185"/>
      <c r="C336" s="31" t="s">
        <v>22</v>
      </c>
      <c r="D336" s="32">
        <v>2441.4</v>
      </c>
      <c r="E336" s="32">
        <v>2441.4</v>
      </c>
      <c r="F336" s="68">
        <f t="shared" si="12"/>
        <v>100</v>
      </c>
      <c r="G336" s="32"/>
      <c r="H336" s="33"/>
      <c r="I336" s="34"/>
    </row>
    <row r="337" spans="1:10" ht="37.5" customHeight="1" x14ac:dyDescent="0.25">
      <c r="A337" s="172"/>
      <c r="B337" s="82" t="s">
        <v>217</v>
      </c>
      <c r="C337" s="31" t="s">
        <v>22</v>
      </c>
      <c r="D337" s="32">
        <f>7642.3+180+241+370.5-D336</f>
        <v>5992.4</v>
      </c>
      <c r="E337" s="32">
        <f>7642.3+180+241+370.5-E336</f>
        <v>5992.4</v>
      </c>
      <c r="F337" s="68">
        <f>E337/D337*100</f>
        <v>100</v>
      </c>
      <c r="G337" s="32"/>
      <c r="H337" s="33"/>
      <c r="I337" s="34"/>
    </row>
    <row r="338" spans="1:10" ht="62.25" customHeight="1" x14ac:dyDescent="0.25">
      <c r="A338" s="173"/>
      <c r="B338" s="82" t="s">
        <v>218</v>
      </c>
      <c r="C338" s="31" t="s">
        <v>22</v>
      </c>
      <c r="D338" s="32">
        <v>18.100000000000001</v>
      </c>
      <c r="E338" s="32">
        <v>18.100000000000001</v>
      </c>
      <c r="F338" s="68">
        <f t="shared" si="12"/>
        <v>100</v>
      </c>
      <c r="G338" s="32"/>
      <c r="H338" s="33"/>
      <c r="I338" s="34"/>
    </row>
    <row r="339" spans="1:10" x14ac:dyDescent="0.25">
      <c r="A339" s="171" t="s">
        <v>39</v>
      </c>
      <c r="B339" s="184" t="s">
        <v>310</v>
      </c>
      <c r="C339" s="31" t="s">
        <v>21</v>
      </c>
      <c r="D339" s="32">
        <v>4379.3999999999996</v>
      </c>
      <c r="E339" s="32">
        <v>4379.3999999999996</v>
      </c>
      <c r="F339" s="68">
        <f t="shared" si="12"/>
        <v>100</v>
      </c>
      <c r="G339" s="174" t="s">
        <v>361</v>
      </c>
      <c r="H339" s="33">
        <f>D339+D340</f>
        <v>7068.7</v>
      </c>
      <c r="I339" s="34">
        <f>E339+E340</f>
        <v>6512.5999999999995</v>
      </c>
      <c r="J339" s="33">
        <f>I339/H339*100</f>
        <v>92.132924017145996</v>
      </c>
    </row>
    <row r="340" spans="1:10" ht="51" customHeight="1" x14ac:dyDescent="0.25">
      <c r="A340" s="172"/>
      <c r="B340" s="185"/>
      <c r="C340" s="31" t="s">
        <v>22</v>
      </c>
      <c r="D340" s="32">
        <v>2689.3</v>
      </c>
      <c r="E340" s="32">
        <v>2133.1999999999998</v>
      </c>
      <c r="F340" s="68">
        <f t="shared" si="12"/>
        <v>79.321756590934427</v>
      </c>
      <c r="G340" s="175"/>
      <c r="H340" s="33"/>
      <c r="I340" s="34"/>
    </row>
    <row r="341" spans="1:10" ht="39.75" customHeight="1" x14ac:dyDescent="0.25">
      <c r="A341" s="172"/>
      <c r="B341" s="82" t="s">
        <v>243</v>
      </c>
      <c r="C341" s="31" t="s">
        <v>22</v>
      </c>
      <c r="D341" s="32">
        <f>49993.6-2689.3</f>
        <v>47304.299999999996</v>
      </c>
      <c r="E341" s="32">
        <v>42797.66</v>
      </c>
      <c r="F341" s="68">
        <f t="shared" si="12"/>
        <v>90.473085956245001</v>
      </c>
      <c r="G341" s="32" t="s">
        <v>417</v>
      </c>
      <c r="H341" s="33"/>
      <c r="I341" s="34"/>
    </row>
    <row r="342" spans="1:10" ht="114" customHeight="1" x14ac:dyDescent="0.25">
      <c r="A342" s="173"/>
      <c r="B342" s="81" t="s">
        <v>242</v>
      </c>
      <c r="C342" s="74" t="s">
        <v>22</v>
      </c>
      <c r="D342" s="61">
        <v>1150</v>
      </c>
      <c r="E342" s="61">
        <v>887.7</v>
      </c>
      <c r="F342" s="71">
        <f t="shared" si="12"/>
        <v>77.19130434782609</v>
      </c>
      <c r="G342" s="32" t="s">
        <v>340</v>
      </c>
      <c r="H342" s="33"/>
      <c r="I342" s="34"/>
    </row>
    <row r="343" spans="1:10" x14ac:dyDescent="0.25">
      <c r="A343" s="171" t="s">
        <v>40</v>
      </c>
      <c r="B343" s="184" t="s">
        <v>287</v>
      </c>
      <c r="C343" s="31" t="s">
        <v>21</v>
      </c>
      <c r="D343" s="32">
        <v>9845.2999999999993</v>
      </c>
      <c r="E343" s="32">
        <v>9715.2999999999993</v>
      </c>
      <c r="F343" s="68">
        <f t="shared" si="12"/>
        <v>98.679572994220592</v>
      </c>
      <c r="G343" s="174" t="s">
        <v>417</v>
      </c>
      <c r="H343" s="33">
        <f>D343+D344</f>
        <v>18362.5</v>
      </c>
      <c r="I343" s="34">
        <f>E343+E344</f>
        <v>18171.3</v>
      </c>
      <c r="J343" s="33">
        <f>I343/H343*100</f>
        <v>98.958747447243027</v>
      </c>
    </row>
    <row r="344" spans="1:10" ht="40.5" customHeight="1" x14ac:dyDescent="0.25">
      <c r="A344" s="172"/>
      <c r="B344" s="185"/>
      <c r="C344" s="31" t="s">
        <v>22</v>
      </c>
      <c r="D344" s="32">
        <v>8517.2000000000007</v>
      </c>
      <c r="E344" s="32">
        <v>8456</v>
      </c>
      <c r="F344" s="68">
        <f t="shared" si="12"/>
        <v>99.281453998966782</v>
      </c>
      <c r="G344" s="175"/>
      <c r="H344" s="33"/>
      <c r="I344" s="34"/>
    </row>
    <row r="345" spans="1:10" ht="48" x14ac:dyDescent="0.25">
      <c r="A345" s="173"/>
      <c r="B345" s="80" t="s">
        <v>273</v>
      </c>
      <c r="C345" s="31" t="s">
        <v>22</v>
      </c>
      <c r="D345" s="32">
        <v>25062.5</v>
      </c>
      <c r="E345" s="32">
        <v>24679.1</v>
      </c>
      <c r="F345" s="68">
        <f t="shared" si="12"/>
        <v>98.470224438902747</v>
      </c>
      <c r="G345" s="32" t="s">
        <v>417</v>
      </c>
      <c r="H345" s="33"/>
      <c r="I345" s="34"/>
    </row>
    <row r="346" spans="1:10" x14ac:dyDescent="0.25">
      <c r="A346" s="171" t="s">
        <v>41</v>
      </c>
      <c r="B346" s="180" t="s">
        <v>107</v>
      </c>
      <c r="C346" s="31" t="s">
        <v>21</v>
      </c>
      <c r="D346" s="32">
        <v>2305.5</v>
      </c>
      <c r="E346" s="32">
        <v>2305.54</v>
      </c>
      <c r="F346" s="68">
        <f t="shared" si="12"/>
        <v>100.00173498156582</v>
      </c>
      <c r="G346" s="32"/>
      <c r="H346" s="33"/>
      <c r="I346" s="34"/>
    </row>
    <row r="347" spans="1:10" ht="25.5" customHeight="1" x14ac:dyDescent="0.25">
      <c r="A347" s="172"/>
      <c r="B347" s="180"/>
      <c r="C347" s="31" t="s">
        <v>22</v>
      </c>
      <c r="D347" s="32">
        <v>646.29999999999995</v>
      </c>
      <c r="E347" s="32">
        <v>646.29999999999995</v>
      </c>
      <c r="F347" s="68">
        <f t="shared" si="12"/>
        <v>100</v>
      </c>
      <c r="G347" s="32"/>
      <c r="H347" s="33"/>
      <c r="I347" s="34"/>
    </row>
    <row r="348" spans="1:10" ht="37.5" customHeight="1" x14ac:dyDescent="0.25">
      <c r="A348" s="172"/>
      <c r="B348" s="82" t="s">
        <v>106</v>
      </c>
      <c r="C348" s="31" t="s">
        <v>22</v>
      </c>
      <c r="D348" s="32">
        <v>4090.9</v>
      </c>
      <c r="E348" s="32">
        <v>4090.9</v>
      </c>
      <c r="F348" s="68">
        <f t="shared" si="12"/>
        <v>100</v>
      </c>
      <c r="G348" s="32"/>
      <c r="H348" s="33"/>
      <c r="I348" s="34"/>
    </row>
    <row r="349" spans="1:10" ht="162.75" customHeight="1" x14ac:dyDescent="0.25">
      <c r="A349" s="172"/>
      <c r="B349" s="82" t="s">
        <v>108</v>
      </c>
      <c r="C349" s="31" t="s">
        <v>22</v>
      </c>
      <c r="D349" s="32">
        <v>5992.8</v>
      </c>
      <c r="E349" s="32">
        <v>5844.7</v>
      </c>
      <c r="F349" s="68">
        <f t="shared" si="12"/>
        <v>97.528701107996255</v>
      </c>
      <c r="G349" s="32" t="s">
        <v>391</v>
      </c>
      <c r="H349" s="33"/>
      <c r="I349" s="34"/>
    </row>
    <row r="350" spans="1:10" ht="65.25" customHeight="1" x14ac:dyDescent="0.25">
      <c r="A350" s="173"/>
      <c r="B350" s="82" t="s">
        <v>109</v>
      </c>
      <c r="C350" s="31" t="s">
        <v>22</v>
      </c>
      <c r="D350" s="32">
        <v>13.9</v>
      </c>
      <c r="E350" s="32">
        <v>13.9</v>
      </c>
      <c r="F350" s="68">
        <f t="shared" si="12"/>
        <v>100</v>
      </c>
      <c r="G350" s="32"/>
      <c r="H350" s="33"/>
      <c r="I350" s="34"/>
    </row>
    <row r="351" spans="1:10" ht="12" customHeight="1" x14ac:dyDescent="0.25">
      <c r="A351" s="176" t="s">
        <v>203</v>
      </c>
      <c r="B351" s="176"/>
      <c r="C351" s="39" t="s">
        <v>296</v>
      </c>
      <c r="D351" s="40">
        <f>SUM(D299:D350)</f>
        <v>231007.93999999994</v>
      </c>
      <c r="E351" s="40">
        <f>SUM(E299:E350)</f>
        <v>222149.77000000002</v>
      </c>
      <c r="F351" s="69">
        <f>E351/D351*100</f>
        <v>96.1654261753947</v>
      </c>
      <c r="G351" s="40"/>
      <c r="H351" s="33">
        <f>1460.9+2812.7+2345.6+3164.5+2995.8+2623.9+3637.9+2294.2+3931.1+4379.4+9845.3+2305.5</f>
        <v>41796.800000000003</v>
      </c>
      <c r="I351" s="34"/>
    </row>
    <row r="352" spans="1:10" ht="24" x14ac:dyDescent="0.25">
      <c r="A352" s="176"/>
      <c r="B352" s="176"/>
      <c r="C352" s="39" t="s">
        <v>300</v>
      </c>
      <c r="D352" s="40">
        <f>D334</f>
        <v>720</v>
      </c>
      <c r="E352" s="40">
        <f>E334</f>
        <v>720</v>
      </c>
      <c r="F352" s="69">
        <f t="shared" ref="F352:F354" si="21">E352/D352*100</f>
        <v>100</v>
      </c>
      <c r="G352" s="40"/>
      <c r="H352" s="33"/>
      <c r="I352" s="34"/>
    </row>
    <row r="353" spans="1:9" x14ac:dyDescent="0.25">
      <c r="A353" s="176"/>
      <c r="B353" s="176"/>
      <c r="C353" s="39" t="s">
        <v>21</v>
      </c>
      <c r="D353" s="40">
        <f>D299+D304+D306+D308+D312+D315+D318+D321+D323+D326+D328+D330+D335+D339+D343+D346</f>
        <v>43486.8</v>
      </c>
      <c r="E353" s="40">
        <f>E299+E304+E306+E308+E312+E315+E318+E321+E323+E326+E328+E330+E335+E339+E343+E346</f>
        <v>43210.54</v>
      </c>
      <c r="F353" s="69">
        <f t="shared" si="21"/>
        <v>99.36472676766283</v>
      </c>
      <c r="G353" s="40"/>
      <c r="H353" s="33"/>
      <c r="I353" s="34"/>
    </row>
    <row r="354" spans="1:9" x14ac:dyDescent="0.25">
      <c r="A354" s="176"/>
      <c r="B354" s="176"/>
      <c r="C354" s="39" t="s">
        <v>22</v>
      </c>
      <c r="D354" s="40">
        <f>D300+D301+D302+D303+D305+D307+D309+D310+D311+D313+D314+D316+D317+D319+D320++D322+D324+D325+D327+D329+D331+D332+D333+D336+D337+D338+D340+D341+D342+D344+D345+D347+D348+D349+D350</f>
        <v>186801.13999999996</v>
      </c>
      <c r="E354" s="40">
        <f>E300+E301+E302+E303+E305+E307+E309+E310+E311+E313+E314+E316+E317+E319+E320++E322+E324+E325+E327+E329+E331+E332+E333+E336+E337+E338+E340+E341+E342+E344+E345+E347+E348+E349+E350</f>
        <v>178219.23</v>
      </c>
      <c r="F354" s="69">
        <f t="shared" si="21"/>
        <v>95.405857801510223</v>
      </c>
      <c r="G354" s="40"/>
      <c r="H354" s="33"/>
      <c r="I354" s="34"/>
    </row>
    <row r="355" spans="1:9" ht="12" customHeight="1" x14ac:dyDescent="0.25">
      <c r="A355" s="177" t="s">
        <v>404</v>
      </c>
      <c r="B355" s="178"/>
      <c r="C355" s="178"/>
      <c r="D355" s="178"/>
      <c r="E355" s="178"/>
      <c r="F355" s="178"/>
      <c r="G355" s="179"/>
      <c r="H355" s="33"/>
      <c r="I355" s="34"/>
    </row>
    <row r="356" spans="1:9" ht="39" customHeight="1" x14ac:dyDescent="0.25">
      <c r="A356" s="78" t="s">
        <v>30</v>
      </c>
      <c r="B356" s="82" t="s">
        <v>78</v>
      </c>
      <c r="C356" s="31" t="s">
        <v>22</v>
      </c>
      <c r="D356" s="32">
        <v>100</v>
      </c>
      <c r="E356" s="32">
        <v>100</v>
      </c>
      <c r="F356" s="68">
        <f t="shared" ref="F356:F369" si="22">E356/D356*100</f>
        <v>100</v>
      </c>
      <c r="G356" s="32"/>
      <c r="H356" s="33"/>
      <c r="I356" s="34"/>
    </row>
    <row r="357" spans="1:9" ht="61.5" customHeight="1" x14ac:dyDescent="0.25">
      <c r="A357" s="78" t="s">
        <v>31</v>
      </c>
      <c r="B357" s="82" t="s">
        <v>121</v>
      </c>
      <c r="C357" s="31" t="s">
        <v>22</v>
      </c>
      <c r="D357" s="32">
        <v>95.4</v>
      </c>
      <c r="E357" s="32">
        <v>93.9</v>
      </c>
      <c r="F357" s="68">
        <f t="shared" si="22"/>
        <v>98.427672955974842</v>
      </c>
      <c r="G357" s="32" t="s">
        <v>362</v>
      </c>
      <c r="H357" s="33"/>
      <c r="I357" s="34"/>
    </row>
    <row r="358" spans="1:9" ht="39.75" customHeight="1" x14ac:dyDescent="0.25">
      <c r="A358" s="78" t="s">
        <v>32</v>
      </c>
      <c r="B358" s="82" t="s">
        <v>129</v>
      </c>
      <c r="C358" s="31" t="s">
        <v>22</v>
      </c>
      <c r="D358" s="32">
        <v>9.4</v>
      </c>
      <c r="E358" s="32">
        <v>9.4</v>
      </c>
      <c r="F358" s="68">
        <f t="shared" si="22"/>
        <v>100</v>
      </c>
      <c r="G358" s="32"/>
      <c r="H358" s="33"/>
      <c r="I358" s="34"/>
    </row>
    <row r="359" spans="1:9" ht="36" x14ac:dyDescent="0.25">
      <c r="A359" s="78" t="s">
        <v>36</v>
      </c>
      <c r="B359" s="82" t="s">
        <v>151</v>
      </c>
      <c r="C359" s="31" t="s">
        <v>22</v>
      </c>
      <c r="D359" s="32">
        <v>170</v>
      </c>
      <c r="E359" s="32">
        <v>170</v>
      </c>
      <c r="F359" s="68">
        <f t="shared" si="22"/>
        <v>100</v>
      </c>
      <c r="G359" s="32"/>
      <c r="H359" s="33"/>
      <c r="I359" s="34"/>
    </row>
    <row r="360" spans="1:9" ht="15" customHeight="1" x14ac:dyDescent="0.25">
      <c r="A360" s="171" t="s">
        <v>33</v>
      </c>
      <c r="B360" s="184" t="s">
        <v>172</v>
      </c>
      <c r="C360" s="31" t="s">
        <v>21</v>
      </c>
      <c r="D360" s="32">
        <v>1915.6</v>
      </c>
      <c r="E360" s="32">
        <v>1915.6</v>
      </c>
      <c r="F360" s="68">
        <f t="shared" si="22"/>
        <v>100</v>
      </c>
      <c r="G360" s="32"/>
      <c r="H360" s="33"/>
      <c r="I360" s="34"/>
    </row>
    <row r="361" spans="1:9" ht="24" customHeight="1" x14ac:dyDescent="0.25">
      <c r="A361" s="172"/>
      <c r="B361" s="185"/>
      <c r="C361" s="31" t="s">
        <v>22</v>
      </c>
      <c r="D361" s="32">
        <v>101.5</v>
      </c>
      <c r="E361" s="32">
        <v>101.5</v>
      </c>
      <c r="F361" s="68">
        <f t="shared" si="22"/>
        <v>100</v>
      </c>
      <c r="G361" s="32"/>
      <c r="H361" s="33"/>
      <c r="I361" s="34"/>
    </row>
    <row r="362" spans="1:9" ht="36" x14ac:dyDescent="0.25">
      <c r="A362" s="173"/>
      <c r="B362" s="80" t="s">
        <v>172</v>
      </c>
      <c r="C362" s="31" t="s">
        <v>22</v>
      </c>
      <c r="D362" s="32">
        <f>511.3-101.5</f>
        <v>409.8</v>
      </c>
      <c r="E362" s="32">
        <f>511.2-101.5</f>
        <v>409.7</v>
      </c>
      <c r="F362" s="68">
        <f t="shared" si="22"/>
        <v>99.975597852611017</v>
      </c>
      <c r="G362" s="32"/>
      <c r="H362" s="33"/>
      <c r="I362" s="34"/>
    </row>
    <row r="363" spans="1:9" ht="65.25" customHeight="1" x14ac:dyDescent="0.25">
      <c r="A363" s="78" t="s">
        <v>34</v>
      </c>
      <c r="B363" s="82" t="s">
        <v>65</v>
      </c>
      <c r="C363" s="31" t="s">
        <v>22</v>
      </c>
      <c r="D363" s="32">
        <v>79.400000000000006</v>
      </c>
      <c r="E363" s="32">
        <v>70.900000000000006</v>
      </c>
      <c r="F363" s="68">
        <f t="shared" si="22"/>
        <v>89.294710327455917</v>
      </c>
      <c r="G363" s="32" t="s">
        <v>363</v>
      </c>
      <c r="H363" s="33"/>
      <c r="I363" s="34"/>
    </row>
    <row r="364" spans="1:9" ht="39.75" customHeight="1" x14ac:dyDescent="0.25">
      <c r="A364" s="78" t="s">
        <v>35</v>
      </c>
      <c r="B364" s="82" t="s">
        <v>186</v>
      </c>
      <c r="C364" s="31" t="s">
        <v>22</v>
      </c>
      <c r="D364" s="32">
        <v>50</v>
      </c>
      <c r="E364" s="32">
        <v>50</v>
      </c>
      <c r="F364" s="68">
        <f t="shared" si="22"/>
        <v>100</v>
      </c>
      <c r="G364" s="32"/>
      <c r="H364" s="33"/>
      <c r="I364" s="34"/>
    </row>
    <row r="365" spans="1:9" ht="39.75" customHeight="1" x14ac:dyDescent="0.25">
      <c r="A365" s="78" t="s">
        <v>37</v>
      </c>
      <c r="B365" s="82" t="s">
        <v>202</v>
      </c>
      <c r="C365" s="31" t="s">
        <v>22</v>
      </c>
      <c r="D365" s="32">
        <v>134.30000000000001</v>
      </c>
      <c r="E365" s="32">
        <v>134.30000000000001</v>
      </c>
      <c r="F365" s="68">
        <f t="shared" si="22"/>
        <v>100</v>
      </c>
      <c r="G365" s="32"/>
      <c r="H365" s="33"/>
      <c r="I365" s="34"/>
    </row>
    <row r="366" spans="1:9" ht="51.75" customHeight="1" x14ac:dyDescent="0.25">
      <c r="A366" s="78" t="s">
        <v>38</v>
      </c>
      <c r="B366" s="82" t="s">
        <v>221</v>
      </c>
      <c r="C366" s="31" t="s">
        <v>22</v>
      </c>
      <c r="D366" s="32">
        <v>4842.2</v>
      </c>
      <c r="E366" s="32">
        <v>4842.2</v>
      </c>
      <c r="F366" s="68">
        <f t="shared" si="22"/>
        <v>100</v>
      </c>
      <c r="G366" s="32"/>
      <c r="H366" s="33"/>
      <c r="I366" s="34"/>
    </row>
    <row r="367" spans="1:9" ht="39.75" customHeight="1" x14ac:dyDescent="0.25">
      <c r="A367" s="78" t="s">
        <v>39</v>
      </c>
      <c r="B367" s="82" t="s">
        <v>247</v>
      </c>
      <c r="C367" s="31" t="s">
        <v>22</v>
      </c>
      <c r="D367" s="32">
        <v>7536.7</v>
      </c>
      <c r="E367" s="32">
        <v>7440.8</v>
      </c>
      <c r="F367" s="68">
        <f t="shared" si="22"/>
        <v>98.727559807342743</v>
      </c>
      <c r="G367" s="32" t="s">
        <v>418</v>
      </c>
      <c r="H367" s="33"/>
      <c r="I367" s="34"/>
    </row>
    <row r="368" spans="1:9" ht="36.75" customHeight="1" x14ac:dyDescent="0.25">
      <c r="A368" s="78" t="s">
        <v>40</v>
      </c>
      <c r="B368" s="82" t="s">
        <v>277</v>
      </c>
      <c r="C368" s="31" t="s">
        <v>22</v>
      </c>
      <c r="D368" s="32">
        <v>11353</v>
      </c>
      <c r="E368" s="32">
        <v>11014.6</v>
      </c>
      <c r="F368" s="68">
        <f t="shared" si="22"/>
        <v>97.01929005549195</v>
      </c>
      <c r="G368" s="32" t="s">
        <v>418</v>
      </c>
      <c r="H368" s="33"/>
      <c r="I368" s="34"/>
    </row>
    <row r="369" spans="1:9" ht="37.5" customHeight="1" x14ac:dyDescent="0.25">
      <c r="A369" s="78" t="s">
        <v>41</v>
      </c>
      <c r="B369" s="82" t="s">
        <v>114</v>
      </c>
      <c r="C369" s="31" t="s">
        <v>22</v>
      </c>
      <c r="D369" s="32">
        <v>44.7</v>
      </c>
      <c r="E369" s="32">
        <v>44.7</v>
      </c>
      <c r="F369" s="68">
        <f t="shared" si="22"/>
        <v>100</v>
      </c>
      <c r="G369" s="32"/>
      <c r="H369" s="33"/>
      <c r="I369" s="34"/>
    </row>
    <row r="370" spans="1:9" ht="12" customHeight="1" x14ac:dyDescent="0.25">
      <c r="A370" s="176" t="s">
        <v>203</v>
      </c>
      <c r="B370" s="176"/>
      <c r="C370" s="39" t="s">
        <v>296</v>
      </c>
      <c r="D370" s="40">
        <f>SUM(D356:D369)</f>
        <v>26842</v>
      </c>
      <c r="E370" s="40">
        <f>SUM(E356:E369)</f>
        <v>26397.600000000002</v>
      </c>
      <c r="F370" s="69">
        <f>E370/D370*100</f>
        <v>98.344385664257516</v>
      </c>
      <c r="G370" s="40"/>
      <c r="H370" s="33"/>
      <c r="I370" s="34"/>
    </row>
    <row r="371" spans="1:9" x14ac:dyDescent="0.25">
      <c r="A371" s="176"/>
      <c r="B371" s="176"/>
      <c r="C371" s="39" t="s">
        <v>21</v>
      </c>
      <c r="D371" s="40">
        <f>D360</f>
        <v>1915.6</v>
      </c>
      <c r="E371" s="40">
        <f>E360</f>
        <v>1915.6</v>
      </c>
      <c r="F371" s="69">
        <f t="shared" ref="F371:F372" si="23">E371/D371*100</f>
        <v>100</v>
      </c>
      <c r="G371" s="40"/>
      <c r="H371" s="33"/>
      <c r="I371" s="34"/>
    </row>
    <row r="372" spans="1:9" x14ac:dyDescent="0.25">
      <c r="A372" s="176"/>
      <c r="B372" s="176"/>
      <c r="C372" s="39" t="s">
        <v>22</v>
      </c>
      <c r="D372" s="40">
        <f>D356+D357+D358+D359+D361+D362+D363+D364+D365+D366+D367+D368+D369</f>
        <v>24926.400000000001</v>
      </c>
      <c r="E372" s="40">
        <f>E356+E357+E358+E359+E361+E362+E363+E364+E365+E366+E367+E368+E369</f>
        <v>24482.000000000004</v>
      </c>
      <c r="F372" s="69">
        <f t="shared" si="23"/>
        <v>98.217151293407795</v>
      </c>
      <c r="G372" s="40"/>
      <c r="H372" s="33"/>
      <c r="I372" s="34"/>
    </row>
    <row r="373" spans="1:9" ht="12" customHeight="1" x14ac:dyDescent="0.25">
      <c r="A373" s="177" t="s">
        <v>402</v>
      </c>
      <c r="B373" s="178"/>
      <c r="C373" s="178"/>
      <c r="D373" s="178"/>
      <c r="E373" s="178"/>
      <c r="F373" s="178"/>
      <c r="G373" s="179"/>
      <c r="H373" s="33"/>
      <c r="I373" s="34"/>
    </row>
    <row r="374" spans="1:9" ht="49.5" customHeight="1" x14ac:dyDescent="0.25">
      <c r="A374" s="78" t="s">
        <v>30</v>
      </c>
      <c r="B374" s="82" t="s">
        <v>74</v>
      </c>
      <c r="C374" s="31" t="s">
        <v>22</v>
      </c>
      <c r="D374" s="32">
        <v>454.7</v>
      </c>
      <c r="E374" s="32">
        <v>454.7</v>
      </c>
      <c r="F374" s="68">
        <f t="shared" ref="F374:F385" si="24">E374/D374*100</f>
        <v>100</v>
      </c>
      <c r="G374" s="32"/>
      <c r="H374" s="33"/>
      <c r="I374" s="34"/>
    </row>
    <row r="375" spans="1:9" ht="12" hidden="1" customHeight="1" x14ac:dyDescent="0.25">
      <c r="A375" s="78" t="s">
        <v>31</v>
      </c>
      <c r="B375" s="82"/>
      <c r="C375" s="31"/>
      <c r="D375" s="32">
        <v>0</v>
      </c>
      <c r="E375" s="32">
        <v>0</v>
      </c>
      <c r="F375" s="68" t="e">
        <f t="shared" si="24"/>
        <v>#DIV/0!</v>
      </c>
      <c r="G375" s="32"/>
      <c r="H375" s="33"/>
      <c r="I375" s="34"/>
    </row>
    <row r="376" spans="1:9" hidden="1" x14ac:dyDescent="0.25">
      <c r="A376" s="78" t="s">
        <v>32</v>
      </c>
      <c r="B376" s="82"/>
      <c r="C376" s="31"/>
      <c r="D376" s="32">
        <v>0</v>
      </c>
      <c r="E376" s="32">
        <v>0</v>
      </c>
      <c r="F376" s="68" t="e">
        <f t="shared" si="24"/>
        <v>#DIV/0!</v>
      </c>
      <c r="G376" s="32"/>
      <c r="H376" s="33"/>
      <c r="I376" s="34"/>
    </row>
    <row r="377" spans="1:9" ht="44.25" customHeight="1" x14ac:dyDescent="0.25">
      <c r="A377" s="78" t="s">
        <v>36</v>
      </c>
      <c r="B377" s="82" t="s">
        <v>153</v>
      </c>
      <c r="C377" s="31" t="s">
        <v>22</v>
      </c>
      <c r="D377" s="32">
        <v>33.700000000000003</v>
      </c>
      <c r="E377" s="32">
        <v>33.700000000000003</v>
      </c>
      <c r="F377" s="68">
        <f t="shared" si="24"/>
        <v>100</v>
      </c>
      <c r="G377" s="32"/>
      <c r="H377" s="33"/>
      <c r="I377" s="34"/>
    </row>
    <row r="378" spans="1:9" ht="12" hidden="1" customHeight="1" x14ac:dyDescent="0.25">
      <c r="A378" s="78" t="s">
        <v>33</v>
      </c>
      <c r="B378" s="82"/>
      <c r="C378" s="31"/>
      <c r="D378" s="32">
        <v>0</v>
      </c>
      <c r="E378" s="32">
        <v>0</v>
      </c>
      <c r="F378" s="68" t="e">
        <f t="shared" si="24"/>
        <v>#DIV/0!</v>
      </c>
      <c r="G378" s="32"/>
      <c r="H378" s="33"/>
      <c r="I378" s="34"/>
    </row>
    <row r="379" spans="1:9" ht="53.25" customHeight="1" x14ac:dyDescent="0.25">
      <c r="A379" s="78" t="s">
        <v>34</v>
      </c>
      <c r="B379" s="82" t="s">
        <v>48</v>
      </c>
      <c r="C379" s="31" t="s">
        <v>22</v>
      </c>
      <c r="D379" s="32">
        <v>130.6</v>
      </c>
      <c r="E379" s="32">
        <v>130.6</v>
      </c>
      <c r="F379" s="68">
        <f t="shared" si="24"/>
        <v>100</v>
      </c>
      <c r="G379" s="32"/>
      <c r="H379" s="33"/>
      <c r="I379" s="34"/>
    </row>
    <row r="380" spans="1:9" ht="24" hidden="1" x14ac:dyDescent="0.25">
      <c r="A380" s="78" t="s">
        <v>35</v>
      </c>
      <c r="B380" s="82"/>
      <c r="C380" s="31"/>
      <c r="D380" s="32">
        <v>0</v>
      </c>
      <c r="E380" s="32">
        <v>0</v>
      </c>
      <c r="F380" s="68" t="e">
        <f t="shared" si="24"/>
        <v>#DIV/0!</v>
      </c>
      <c r="G380" s="32"/>
      <c r="H380" s="33"/>
      <c r="I380" s="34"/>
    </row>
    <row r="381" spans="1:9" ht="41.25" customHeight="1" x14ac:dyDescent="0.25">
      <c r="A381" s="78" t="s">
        <v>37</v>
      </c>
      <c r="B381" s="82" t="s">
        <v>193</v>
      </c>
      <c r="C381" s="31" t="s">
        <v>22</v>
      </c>
      <c r="D381" s="32">
        <v>98.9</v>
      </c>
      <c r="E381" s="32">
        <v>98.9</v>
      </c>
      <c r="F381" s="68">
        <f t="shared" si="24"/>
        <v>100</v>
      </c>
      <c r="G381" s="32"/>
      <c r="H381" s="33"/>
      <c r="I381" s="34"/>
    </row>
    <row r="382" spans="1:9" ht="63.75" customHeight="1" x14ac:dyDescent="0.25">
      <c r="A382" s="78" t="s">
        <v>38</v>
      </c>
      <c r="B382" s="82" t="s">
        <v>209</v>
      </c>
      <c r="C382" s="31" t="s">
        <v>22</v>
      </c>
      <c r="D382" s="32">
        <v>16.399999999999999</v>
      </c>
      <c r="E382" s="32">
        <v>9.5</v>
      </c>
      <c r="F382" s="68">
        <f t="shared" si="24"/>
        <v>57.926829268292693</v>
      </c>
      <c r="G382" s="32" t="s">
        <v>400</v>
      </c>
      <c r="H382" s="33"/>
      <c r="I382" s="34"/>
    </row>
    <row r="383" spans="1:9" ht="108" x14ac:dyDescent="0.25">
      <c r="A383" s="78" t="s">
        <v>39</v>
      </c>
      <c r="B383" s="82" t="s">
        <v>248</v>
      </c>
      <c r="C383" s="31" t="s">
        <v>22</v>
      </c>
      <c r="D383" s="32">
        <v>370</v>
      </c>
      <c r="E383" s="32">
        <v>322</v>
      </c>
      <c r="F383" s="68">
        <f t="shared" si="24"/>
        <v>87.027027027027032</v>
      </c>
      <c r="G383" s="32" t="s">
        <v>340</v>
      </c>
      <c r="H383" s="33"/>
      <c r="I383" s="34"/>
    </row>
    <row r="384" spans="1:9" ht="48" x14ac:dyDescent="0.25">
      <c r="A384" s="77" t="s">
        <v>40</v>
      </c>
      <c r="B384" s="77" t="s">
        <v>276</v>
      </c>
      <c r="C384" s="31" t="s">
        <v>22</v>
      </c>
      <c r="D384" s="32">
        <v>516.5</v>
      </c>
      <c r="E384" s="32">
        <v>510.7</v>
      </c>
      <c r="F384" s="68">
        <f t="shared" si="24"/>
        <v>98.877057115198454</v>
      </c>
      <c r="G384" s="32" t="s">
        <v>418</v>
      </c>
      <c r="H384" s="33"/>
      <c r="I384" s="34"/>
    </row>
    <row r="385" spans="1:9" ht="36.75" customHeight="1" x14ac:dyDescent="0.25">
      <c r="A385" s="78" t="s">
        <v>41</v>
      </c>
      <c r="B385" s="82" t="s">
        <v>113</v>
      </c>
      <c r="C385" s="31" t="s">
        <v>22</v>
      </c>
      <c r="D385" s="32">
        <v>62.3</v>
      </c>
      <c r="E385" s="32">
        <v>62.3</v>
      </c>
      <c r="F385" s="68">
        <f t="shared" si="24"/>
        <v>100</v>
      </c>
      <c r="G385" s="32"/>
      <c r="H385" s="33"/>
      <c r="I385" s="34"/>
    </row>
    <row r="386" spans="1:9" ht="12" customHeight="1" x14ac:dyDescent="0.25">
      <c r="A386" s="176" t="s">
        <v>203</v>
      </c>
      <c r="B386" s="176"/>
      <c r="C386" s="39" t="s">
        <v>296</v>
      </c>
      <c r="D386" s="40">
        <f>SUM(D374:D385)</f>
        <v>1683.1</v>
      </c>
      <c r="E386" s="40">
        <f>SUM(E374:E385)</f>
        <v>1622.4</v>
      </c>
      <c r="F386" s="69">
        <f>E386/D386*100</f>
        <v>96.393559503297496</v>
      </c>
      <c r="G386" s="40"/>
      <c r="H386" s="33"/>
      <c r="I386" s="34"/>
    </row>
    <row r="387" spans="1:9" x14ac:dyDescent="0.25">
      <c r="A387" s="176"/>
      <c r="B387" s="176"/>
      <c r="C387" s="39" t="s">
        <v>22</v>
      </c>
      <c r="D387" s="40">
        <f>D374+D375+D376+D377+D378+D379+D380+D381+D382+D383+D384+D385</f>
        <v>1683.1</v>
      </c>
      <c r="E387" s="40">
        <f>E374+E375+E376+E377+E378+E379+E380+E381+E382+E383+E384+E385</f>
        <v>1622.4</v>
      </c>
      <c r="F387" s="69">
        <f>E387/D387*100</f>
        <v>96.393559503297496</v>
      </c>
      <c r="G387" s="40"/>
      <c r="H387" s="33"/>
      <c r="I387" s="34"/>
    </row>
    <row r="388" spans="1:9" ht="12" customHeight="1" x14ac:dyDescent="0.25">
      <c r="A388" s="177" t="s">
        <v>317</v>
      </c>
      <c r="B388" s="178"/>
      <c r="C388" s="178"/>
      <c r="D388" s="178"/>
      <c r="E388" s="178"/>
      <c r="F388" s="178"/>
      <c r="G388" s="179"/>
      <c r="H388" s="33"/>
      <c r="I388" s="34"/>
    </row>
    <row r="389" spans="1:9" ht="13.5" hidden="1" customHeight="1" x14ac:dyDescent="0.25">
      <c r="A389" s="78" t="s">
        <v>30</v>
      </c>
      <c r="B389" s="82"/>
      <c r="C389" s="31"/>
      <c r="D389" s="32">
        <v>0</v>
      </c>
      <c r="E389" s="32">
        <v>0</v>
      </c>
      <c r="F389" s="68" t="e">
        <f t="shared" ref="F389:F400" si="25">E389/D389*100</f>
        <v>#DIV/0!</v>
      </c>
      <c r="G389" s="32"/>
      <c r="H389" s="33"/>
      <c r="I389" s="34"/>
    </row>
    <row r="390" spans="1:9" ht="63" customHeight="1" x14ac:dyDescent="0.25">
      <c r="A390" s="78" t="s">
        <v>31</v>
      </c>
      <c r="B390" s="82" t="s">
        <v>117</v>
      </c>
      <c r="C390" s="31" t="s">
        <v>22</v>
      </c>
      <c r="D390" s="32">
        <v>0</v>
      </c>
      <c r="E390" s="32">
        <v>0</v>
      </c>
      <c r="F390" s="68" t="e">
        <f t="shared" si="25"/>
        <v>#DIV/0!</v>
      </c>
      <c r="G390" s="32" t="s">
        <v>339</v>
      </c>
      <c r="H390" s="33"/>
      <c r="I390" s="34"/>
    </row>
    <row r="391" spans="1:9" ht="53.25" customHeight="1" x14ac:dyDescent="0.25">
      <c r="A391" s="78" t="s">
        <v>32</v>
      </c>
      <c r="B391" s="82" t="s">
        <v>134</v>
      </c>
      <c r="C391" s="31" t="s">
        <v>22</v>
      </c>
      <c r="D391" s="32">
        <v>15</v>
      </c>
      <c r="E391" s="32">
        <v>15</v>
      </c>
      <c r="F391" s="68">
        <f t="shared" si="25"/>
        <v>100</v>
      </c>
      <c r="G391" s="32"/>
      <c r="H391" s="33"/>
      <c r="I391" s="34"/>
    </row>
    <row r="392" spans="1:9" ht="63.75" customHeight="1" x14ac:dyDescent="0.25">
      <c r="A392" s="78" t="s">
        <v>36</v>
      </c>
      <c r="B392" s="82" t="s">
        <v>152</v>
      </c>
      <c r="C392" s="31" t="s">
        <v>22</v>
      </c>
      <c r="D392" s="32">
        <v>20</v>
      </c>
      <c r="E392" s="32">
        <v>20</v>
      </c>
      <c r="F392" s="68">
        <f t="shared" si="25"/>
        <v>100</v>
      </c>
      <c r="G392" s="32"/>
      <c r="H392" s="33"/>
      <c r="I392" s="34"/>
    </row>
    <row r="393" spans="1:9" ht="63" customHeight="1" x14ac:dyDescent="0.25">
      <c r="A393" s="78" t="s">
        <v>33</v>
      </c>
      <c r="B393" s="82" t="s">
        <v>171</v>
      </c>
      <c r="C393" s="31" t="s">
        <v>22</v>
      </c>
      <c r="D393" s="32">
        <v>12</v>
      </c>
      <c r="E393" s="32">
        <v>12</v>
      </c>
      <c r="F393" s="68">
        <f t="shared" si="25"/>
        <v>100</v>
      </c>
      <c r="G393" s="32"/>
      <c r="H393" s="33"/>
      <c r="I393" s="34"/>
    </row>
    <row r="394" spans="1:9" ht="0.75" hidden="1" customHeight="1" x14ac:dyDescent="0.25">
      <c r="A394" s="78" t="s">
        <v>34</v>
      </c>
      <c r="B394" s="82"/>
      <c r="C394" s="31"/>
      <c r="D394" s="32">
        <v>0</v>
      </c>
      <c r="E394" s="32">
        <v>0</v>
      </c>
      <c r="F394" s="68" t="e">
        <f t="shared" si="25"/>
        <v>#DIV/0!</v>
      </c>
      <c r="G394" s="32"/>
      <c r="H394" s="33"/>
      <c r="I394" s="34"/>
    </row>
    <row r="395" spans="1:9" ht="24" hidden="1" x14ac:dyDescent="0.25">
      <c r="A395" s="78" t="s">
        <v>35</v>
      </c>
      <c r="B395" s="82"/>
      <c r="C395" s="31"/>
      <c r="D395" s="32">
        <v>0</v>
      </c>
      <c r="E395" s="32">
        <v>0</v>
      </c>
      <c r="F395" s="68" t="e">
        <f t="shared" si="25"/>
        <v>#DIV/0!</v>
      </c>
      <c r="G395" s="32"/>
      <c r="H395" s="33"/>
      <c r="I395" s="34"/>
    </row>
    <row r="396" spans="1:9" hidden="1" x14ac:dyDescent="0.25">
      <c r="A396" s="78" t="s">
        <v>37</v>
      </c>
      <c r="B396" s="82"/>
      <c r="C396" s="31"/>
      <c r="D396" s="32">
        <v>0</v>
      </c>
      <c r="E396" s="32">
        <v>0</v>
      </c>
      <c r="F396" s="68" t="e">
        <f t="shared" si="25"/>
        <v>#DIV/0!</v>
      </c>
      <c r="G396" s="32"/>
      <c r="H396" s="33"/>
      <c r="I396" s="34"/>
    </row>
    <row r="397" spans="1:9" ht="60" x14ac:dyDescent="0.25">
      <c r="A397" s="78" t="s">
        <v>38</v>
      </c>
      <c r="B397" s="82" t="s">
        <v>220</v>
      </c>
      <c r="C397" s="31" t="s">
        <v>22</v>
      </c>
      <c r="D397" s="32">
        <v>20</v>
      </c>
      <c r="E397" s="32">
        <v>20</v>
      </c>
      <c r="F397" s="68">
        <f t="shared" si="25"/>
        <v>100</v>
      </c>
      <c r="G397" s="32"/>
      <c r="H397" s="33"/>
      <c r="I397" s="34"/>
    </row>
    <row r="398" spans="1:9" ht="60" x14ac:dyDescent="0.25">
      <c r="A398" s="78" t="s">
        <v>39</v>
      </c>
      <c r="B398" s="82" t="s">
        <v>246</v>
      </c>
      <c r="C398" s="31" t="s">
        <v>22</v>
      </c>
      <c r="D398" s="32">
        <v>300</v>
      </c>
      <c r="E398" s="32">
        <v>300</v>
      </c>
      <c r="F398" s="68">
        <f t="shared" si="25"/>
        <v>100</v>
      </c>
      <c r="G398" s="32"/>
      <c r="H398" s="33"/>
      <c r="I398" s="34"/>
    </row>
    <row r="399" spans="1:9" ht="38.25" customHeight="1" x14ac:dyDescent="0.25">
      <c r="A399" s="78" t="s">
        <v>40</v>
      </c>
      <c r="B399" s="82" t="s">
        <v>275</v>
      </c>
      <c r="C399" s="31" t="s">
        <v>22</v>
      </c>
      <c r="D399" s="32">
        <v>158.4</v>
      </c>
      <c r="E399" s="32">
        <v>158.4</v>
      </c>
      <c r="F399" s="68">
        <f t="shared" si="25"/>
        <v>100</v>
      </c>
      <c r="G399" s="32"/>
      <c r="H399" s="33"/>
      <c r="I399" s="34"/>
    </row>
    <row r="400" spans="1:9" ht="60" x14ac:dyDescent="0.25">
      <c r="A400" s="78" t="s">
        <v>41</v>
      </c>
      <c r="B400" s="82" t="s">
        <v>111</v>
      </c>
      <c r="C400" s="31" t="s">
        <v>22</v>
      </c>
      <c r="D400" s="32">
        <v>3</v>
      </c>
      <c r="E400" s="32">
        <v>3</v>
      </c>
      <c r="F400" s="68">
        <f t="shared" si="25"/>
        <v>100</v>
      </c>
      <c r="G400" s="32"/>
      <c r="H400" s="33"/>
      <c r="I400" s="34"/>
    </row>
    <row r="401" spans="1:9" ht="12" customHeight="1" x14ac:dyDescent="0.25">
      <c r="A401" s="176" t="s">
        <v>203</v>
      </c>
      <c r="B401" s="176"/>
      <c r="C401" s="39" t="s">
        <v>296</v>
      </c>
      <c r="D401" s="40">
        <f>SUM(D390:D400)</f>
        <v>528.4</v>
      </c>
      <c r="E401" s="40">
        <f>SUM(E390:E400)</f>
        <v>528.4</v>
      </c>
      <c r="F401" s="69">
        <f>E401/D401*100</f>
        <v>100</v>
      </c>
      <c r="G401" s="40"/>
      <c r="H401" s="33"/>
      <c r="I401" s="34"/>
    </row>
    <row r="402" spans="1:9" x14ac:dyDescent="0.25">
      <c r="A402" s="176"/>
      <c r="B402" s="176"/>
      <c r="C402" s="39" t="s">
        <v>22</v>
      </c>
      <c r="D402" s="40">
        <f>D389+D390+D391+D392+D393+D394+D395+D396+D397+D398+D399+D400</f>
        <v>528.4</v>
      </c>
      <c r="E402" s="40">
        <f>E389+E390+E391+E392+E393+E394+E395+E396+E397+E398+E399+E400</f>
        <v>528.4</v>
      </c>
      <c r="F402" s="69">
        <f>E402/D402*100</f>
        <v>100</v>
      </c>
      <c r="G402" s="40"/>
      <c r="H402" s="33"/>
      <c r="I402" s="34"/>
    </row>
    <row r="403" spans="1:9" ht="11.25" customHeight="1" x14ac:dyDescent="0.25">
      <c r="A403" s="177" t="s">
        <v>112</v>
      </c>
      <c r="B403" s="178"/>
      <c r="C403" s="178"/>
      <c r="D403" s="178"/>
      <c r="E403" s="178"/>
      <c r="F403" s="178"/>
      <c r="G403" s="179"/>
      <c r="H403" s="33"/>
      <c r="I403" s="34"/>
    </row>
    <row r="404" spans="1:9" ht="13.5" hidden="1" customHeight="1" x14ac:dyDescent="0.25">
      <c r="A404" s="78" t="s">
        <v>30</v>
      </c>
      <c r="B404" s="82"/>
      <c r="C404" s="31"/>
      <c r="D404" s="32">
        <v>0</v>
      </c>
      <c r="E404" s="32">
        <v>0</v>
      </c>
      <c r="F404" s="68" t="e">
        <f t="shared" ref="F404:F415" si="26">E404/D404*100</f>
        <v>#DIV/0!</v>
      </c>
      <c r="G404" s="32"/>
      <c r="H404" s="33"/>
      <c r="I404" s="34"/>
    </row>
    <row r="405" spans="1:9" ht="12" hidden="1" customHeight="1" x14ac:dyDescent="0.25">
      <c r="A405" s="78" t="s">
        <v>31</v>
      </c>
      <c r="B405" s="82"/>
      <c r="C405" s="31"/>
      <c r="D405" s="32">
        <v>0</v>
      </c>
      <c r="E405" s="32">
        <v>0</v>
      </c>
      <c r="F405" s="68" t="e">
        <f t="shared" si="26"/>
        <v>#DIV/0!</v>
      </c>
      <c r="G405" s="32"/>
      <c r="H405" s="33"/>
      <c r="I405" s="34"/>
    </row>
    <row r="406" spans="1:9" hidden="1" x14ac:dyDescent="0.25">
      <c r="A406" s="78" t="s">
        <v>32</v>
      </c>
      <c r="B406" s="82"/>
      <c r="C406" s="31"/>
      <c r="D406" s="32">
        <v>0</v>
      </c>
      <c r="E406" s="32">
        <v>0</v>
      </c>
      <c r="F406" s="68" t="e">
        <f t="shared" si="26"/>
        <v>#DIV/0!</v>
      </c>
      <c r="G406" s="32"/>
      <c r="H406" s="33"/>
      <c r="I406" s="34"/>
    </row>
    <row r="407" spans="1:9" hidden="1" x14ac:dyDescent="0.25">
      <c r="A407" s="78" t="s">
        <v>36</v>
      </c>
      <c r="B407" s="82"/>
      <c r="C407" s="31"/>
      <c r="D407" s="32">
        <v>0</v>
      </c>
      <c r="E407" s="32">
        <v>0</v>
      </c>
      <c r="F407" s="68" t="e">
        <f t="shared" si="26"/>
        <v>#DIV/0!</v>
      </c>
      <c r="G407" s="32"/>
      <c r="H407" s="33"/>
      <c r="I407" s="34"/>
    </row>
    <row r="408" spans="1:9" ht="12" hidden="1" customHeight="1" x14ac:dyDescent="0.25">
      <c r="A408" s="78" t="s">
        <v>33</v>
      </c>
      <c r="B408" s="82"/>
      <c r="C408" s="31"/>
      <c r="D408" s="32">
        <v>0</v>
      </c>
      <c r="E408" s="32">
        <v>0</v>
      </c>
      <c r="F408" s="68" t="e">
        <f t="shared" si="26"/>
        <v>#DIV/0!</v>
      </c>
      <c r="G408" s="32"/>
      <c r="H408" s="33"/>
      <c r="I408" s="34"/>
    </row>
    <row r="409" spans="1:9" ht="13.5" hidden="1" customHeight="1" x14ac:dyDescent="0.25">
      <c r="A409" s="78" t="s">
        <v>34</v>
      </c>
      <c r="B409" s="82"/>
      <c r="C409" s="31"/>
      <c r="D409" s="32">
        <v>0</v>
      </c>
      <c r="E409" s="32">
        <v>0</v>
      </c>
      <c r="F409" s="68" t="e">
        <f t="shared" si="26"/>
        <v>#DIV/0!</v>
      </c>
      <c r="G409" s="32"/>
      <c r="H409" s="33"/>
      <c r="I409" s="34"/>
    </row>
    <row r="410" spans="1:9" ht="26.25" customHeight="1" x14ac:dyDescent="0.25">
      <c r="A410" s="78" t="s">
        <v>35</v>
      </c>
      <c r="B410" s="82" t="s">
        <v>188</v>
      </c>
      <c r="C410" s="31" t="s">
        <v>22</v>
      </c>
      <c r="D410" s="32">
        <v>67.7</v>
      </c>
      <c r="E410" s="32">
        <v>67.7</v>
      </c>
      <c r="F410" s="68">
        <f t="shared" si="26"/>
        <v>100</v>
      </c>
      <c r="G410" s="32"/>
      <c r="H410" s="33"/>
      <c r="I410" s="34"/>
    </row>
    <row r="411" spans="1:9" hidden="1" x14ac:dyDescent="0.25">
      <c r="A411" s="78" t="s">
        <v>37</v>
      </c>
      <c r="B411" s="82"/>
      <c r="C411" s="31"/>
      <c r="D411" s="32">
        <v>0</v>
      </c>
      <c r="E411" s="32">
        <v>0</v>
      </c>
      <c r="F411" s="68" t="e">
        <f t="shared" si="26"/>
        <v>#DIV/0!</v>
      </c>
      <c r="G411" s="32"/>
      <c r="H411" s="33"/>
      <c r="I411" s="34"/>
    </row>
    <row r="412" spans="1:9" ht="12.75" hidden="1" customHeight="1" x14ac:dyDescent="0.25">
      <c r="A412" s="78" t="s">
        <v>38</v>
      </c>
      <c r="B412" s="82"/>
      <c r="C412" s="31"/>
      <c r="D412" s="32">
        <v>0</v>
      </c>
      <c r="E412" s="32">
        <v>0</v>
      </c>
      <c r="F412" s="68" t="e">
        <f t="shared" si="26"/>
        <v>#DIV/0!</v>
      </c>
      <c r="G412" s="32"/>
      <c r="H412" s="33"/>
      <c r="I412" s="34"/>
    </row>
    <row r="413" spans="1:9" hidden="1" x14ac:dyDescent="0.25">
      <c r="A413" s="78" t="s">
        <v>39</v>
      </c>
      <c r="B413" s="82"/>
      <c r="C413" s="31"/>
      <c r="D413" s="32">
        <v>0</v>
      </c>
      <c r="E413" s="32">
        <v>0</v>
      </c>
      <c r="F413" s="68" t="e">
        <f t="shared" si="26"/>
        <v>#DIV/0!</v>
      </c>
      <c r="G413" s="32"/>
      <c r="H413" s="33"/>
      <c r="I413" s="34"/>
    </row>
    <row r="414" spans="1:9" ht="39.75" customHeight="1" x14ac:dyDescent="0.25">
      <c r="A414" s="78" t="s">
        <v>40</v>
      </c>
      <c r="B414" s="82" t="s">
        <v>274</v>
      </c>
      <c r="C414" s="31" t="s">
        <v>22</v>
      </c>
      <c r="D414" s="32">
        <v>619.5</v>
      </c>
      <c r="E414" s="32">
        <v>618.9</v>
      </c>
      <c r="F414" s="68">
        <f t="shared" si="26"/>
        <v>99.903147699757866</v>
      </c>
      <c r="G414" s="32" t="s">
        <v>418</v>
      </c>
      <c r="H414" s="33"/>
      <c r="I414" s="34"/>
    </row>
    <row r="415" spans="1:9" ht="24" hidden="1" x14ac:dyDescent="0.25">
      <c r="A415" s="78" t="s">
        <v>41</v>
      </c>
      <c r="B415" s="82"/>
      <c r="C415" s="31"/>
      <c r="D415" s="32">
        <v>0</v>
      </c>
      <c r="E415" s="32">
        <v>0</v>
      </c>
      <c r="F415" s="68" t="e">
        <f t="shared" si="26"/>
        <v>#DIV/0!</v>
      </c>
      <c r="G415" s="32"/>
      <c r="H415" s="33"/>
      <c r="I415" s="34"/>
    </row>
    <row r="416" spans="1:9" ht="12" customHeight="1" x14ac:dyDescent="0.25">
      <c r="A416" s="186" t="s">
        <v>203</v>
      </c>
      <c r="B416" s="192"/>
      <c r="C416" s="39" t="s">
        <v>296</v>
      </c>
      <c r="D416" s="40">
        <f>SUM(D410:D415)</f>
        <v>687.2</v>
      </c>
      <c r="E416" s="40">
        <f>SUM(E410:E415)</f>
        <v>686.6</v>
      </c>
      <c r="F416" s="69">
        <f>E416/D416*100</f>
        <v>99.912689173457508</v>
      </c>
      <c r="G416" s="40"/>
      <c r="H416" s="33"/>
      <c r="I416" s="34"/>
    </row>
    <row r="417" spans="1:10" x14ac:dyDescent="0.25">
      <c r="A417" s="190"/>
      <c r="B417" s="193"/>
      <c r="C417" s="39" t="s">
        <v>22</v>
      </c>
      <c r="D417" s="40">
        <f>D404+D405+D406+D407+D408+D409+D410+D411+D412+D413+D414+D415</f>
        <v>687.2</v>
      </c>
      <c r="E417" s="40">
        <f t="shared" ref="E417" si="27">E404+E405+E406+E407+E408+E409+E410+E411+E412+E413+E414+E415</f>
        <v>686.6</v>
      </c>
      <c r="F417" s="69">
        <f>E417/D417*100</f>
        <v>99.912689173457508</v>
      </c>
      <c r="G417" s="40"/>
      <c r="H417" s="33"/>
      <c r="I417" s="34"/>
    </row>
    <row r="418" spans="1:10" s="108" customFormat="1" ht="13.5" customHeight="1" x14ac:dyDescent="0.25">
      <c r="A418" s="198" t="s">
        <v>421</v>
      </c>
      <c r="B418" s="199"/>
      <c r="C418" s="103"/>
      <c r="D418" s="104">
        <f>D71+D86+D114+D130+D168+D184+D213+D231+D247+D261+D280+D296+D351+D370+D386+D401+D416</f>
        <v>1039184.6299999999</v>
      </c>
      <c r="E418" s="104">
        <f>E71+E86+E114+E130+E168+E184+E213+E231+E247+E261+E280+E296+E351+E370+E386+E401+E416</f>
        <v>936495.83999999973</v>
      </c>
      <c r="F418" s="105">
        <f>E418/D418*100</f>
        <v>90.118330560758949</v>
      </c>
      <c r="G418" s="84"/>
      <c r="H418" s="106"/>
      <c r="I418" s="107"/>
      <c r="J418" s="106"/>
    </row>
    <row r="419" spans="1:10" ht="15.75" customHeight="1" x14ac:dyDescent="0.25">
      <c r="A419" s="181" t="s">
        <v>3</v>
      </c>
      <c r="B419" s="195"/>
      <c r="C419" s="31" t="s">
        <v>21</v>
      </c>
      <c r="D419" s="62">
        <f>D133+D299</f>
        <v>3995.6</v>
      </c>
      <c r="E419" s="62">
        <f>E133+E299</f>
        <v>3995.6</v>
      </c>
      <c r="F419" s="68">
        <f t="shared" ref="F419:F460" si="28">E419/D419*100</f>
        <v>100</v>
      </c>
      <c r="G419" s="32"/>
      <c r="H419" s="33">
        <f>3995.6-D419</f>
        <v>0</v>
      </c>
      <c r="I419" s="34">
        <f>3995.6-E419</f>
        <v>0</v>
      </c>
    </row>
    <row r="420" spans="1:10" x14ac:dyDescent="0.25">
      <c r="A420" s="182"/>
      <c r="B420" s="196"/>
      <c r="C420" s="31" t="s">
        <v>22</v>
      </c>
      <c r="D420" s="32">
        <f>D6+D7+D8+D9+D10+D11+D12+D74+D89+D134+D135+D172+D187+D235+D250+D285+D300+D301+D302+D303+D356+D374</f>
        <v>29491.7</v>
      </c>
      <c r="E420" s="32">
        <f>E6+E7+E8+E9+E10+E11+E12+E74+E89+E134+E135+E172+E187+E235+E250+E285+E300+E301+E302+E303+E356+E374</f>
        <v>29331.63</v>
      </c>
      <c r="F420" s="68">
        <f t="shared" si="28"/>
        <v>99.457237120952684</v>
      </c>
      <c r="G420" s="32"/>
    </row>
    <row r="421" spans="1:10" s="64" customFormat="1" x14ac:dyDescent="0.25">
      <c r="A421" s="183"/>
      <c r="B421" s="197"/>
      <c r="C421" s="36" t="s">
        <v>24</v>
      </c>
      <c r="D421" s="37">
        <f>D419+D420</f>
        <v>33487.300000000003</v>
      </c>
      <c r="E421" s="37">
        <f>E419+E420</f>
        <v>33327.230000000003</v>
      </c>
      <c r="F421" s="72">
        <f t="shared" si="28"/>
        <v>99.521997891738067</v>
      </c>
      <c r="G421" s="37"/>
      <c r="H421" s="65"/>
      <c r="I421" s="109"/>
      <c r="J421" s="65"/>
    </row>
    <row r="422" spans="1:10" ht="15.75" customHeight="1" x14ac:dyDescent="0.25">
      <c r="A422" s="181" t="s">
        <v>2</v>
      </c>
      <c r="B422" s="195"/>
      <c r="C422" s="31" t="s">
        <v>21</v>
      </c>
      <c r="D422" s="62">
        <f>D136+D304+D306</f>
        <v>6949.7</v>
      </c>
      <c r="E422" s="62">
        <f>E136+E304+E306</f>
        <v>6691.2999999999993</v>
      </c>
      <c r="F422" s="68">
        <f t="shared" si="28"/>
        <v>96.281853892973785</v>
      </c>
      <c r="G422" s="32"/>
      <c r="H422" s="33">
        <f>6649.7-D422</f>
        <v>-300</v>
      </c>
      <c r="I422" s="34">
        <f>6391.3-E422</f>
        <v>-299.99999999999909</v>
      </c>
    </row>
    <row r="423" spans="1:10" x14ac:dyDescent="0.25">
      <c r="A423" s="182"/>
      <c r="B423" s="196"/>
      <c r="C423" s="31" t="s">
        <v>22</v>
      </c>
      <c r="D423" s="32">
        <f>D13+D14+D15+D90+D173+D137+D188+D286+D307+D357+D390+D138+D305</f>
        <v>37501.200000000004</v>
      </c>
      <c r="E423" s="32">
        <f>E13+E14+E15+E90+E173+E137+E188+E286+E307+E357+E390+E138+E305</f>
        <v>35765.14</v>
      </c>
      <c r="F423" s="68">
        <f t="shared" si="28"/>
        <v>95.370654805712874</v>
      </c>
      <c r="G423" s="32"/>
    </row>
    <row r="424" spans="1:10" s="64" customFormat="1" x14ac:dyDescent="0.25">
      <c r="A424" s="183"/>
      <c r="B424" s="197"/>
      <c r="C424" s="110" t="s">
        <v>24</v>
      </c>
      <c r="D424" s="111">
        <f>D422+D423</f>
        <v>44450.9</v>
      </c>
      <c r="E424" s="111">
        <f>E422+E423</f>
        <v>42456.44</v>
      </c>
      <c r="F424" s="112">
        <f t="shared" si="28"/>
        <v>95.513116719796457</v>
      </c>
      <c r="G424" s="111"/>
      <c r="H424" s="63"/>
      <c r="J424" s="65"/>
    </row>
    <row r="425" spans="1:10" ht="15.75" customHeight="1" x14ac:dyDescent="0.25">
      <c r="A425" s="181" t="s">
        <v>4</v>
      </c>
      <c r="B425" s="195"/>
      <c r="C425" s="31" t="s">
        <v>21</v>
      </c>
      <c r="D425" s="62">
        <f>D308</f>
        <v>2345.6</v>
      </c>
      <c r="E425" s="62">
        <f>E308</f>
        <v>2345.6</v>
      </c>
      <c r="F425" s="68">
        <f t="shared" si="28"/>
        <v>100</v>
      </c>
      <c r="G425" s="32"/>
      <c r="H425" s="33">
        <f>2345.6-D425</f>
        <v>0</v>
      </c>
      <c r="I425" s="34">
        <f>2345.6-E425</f>
        <v>0</v>
      </c>
    </row>
    <row r="426" spans="1:10" x14ac:dyDescent="0.25">
      <c r="A426" s="182"/>
      <c r="B426" s="196"/>
      <c r="C426" s="31" t="s">
        <v>22</v>
      </c>
      <c r="D426" s="32">
        <f>D16+D17+D18+D91+D139+D174+D189+D287+D309+D310+D358+D391+D311</f>
        <v>36928.299999999988</v>
      </c>
      <c r="E426" s="32">
        <f>E16+E17+E18+E91+E139+E174+E189+E287+E309+E310+E358+E391+E311</f>
        <v>36452.19999999999</v>
      </c>
      <c r="F426" s="68">
        <f t="shared" si="28"/>
        <v>98.710744875881105</v>
      </c>
      <c r="G426" s="32"/>
      <c r="H426" s="33"/>
      <c r="I426" s="34"/>
    </row>
    <row r="427" spans="1:10" s="64" customFormat="1" x14ac:dyDescent="0.25">
      <c r="A427" s="183"/>
      <c r="B427" s="197"/>
      <c r="C427" s="36" t="s">
        <v>24</v>
      </c>
      <c r="D427" s="37">
        <f>D425+D426</f>
        <v>39273.899999999987</v>
      </c>
      <c r="E427" s="37">
        <f>E425+E426</f>
        <v>38797.799999999988</v>
      </c>
      <c r="F427" s="72">
        <f t="shared" si="28"/>
        <v>98.787744532628537</v>
      </c>
      <c r="G427" s="37"/>
      <c r="H427" s="63"/>
      <c r="J427" s="65"/>
    </row>
    <row r="428" spans="1:10" ht="15.75" customHeight="1" x14ac:dyDescent="0.25">
      <c r="A428" s="181" t="s">
        <v>5</v>
      </c>
      <c r="B428" s="195"/>
      <c r="C428" s="31" t="s">
        <v>21</v>
      </c>
      <c r="D428" s="62">
        <f>D312</f>
        <v>3164.5</v>
      </c>
      <c r="E428" s="62">
        <f>E312</f>
        <v>3164.5</v>
      </c>
      <c r="F428" s="68">
        <f t="shared" si="28"/>
        <v>100</v>
      </c>
      <c r="G428" s="32"/>
      <c r="H428" s="33">
        <f>3164.5-D428</f>
        <v>0</v>
      </c>
      <c r="I428" s="34">
        <f>3164.5-E428</f>
        <v>0</v>
      </c>
    </row>
    <row r="429" spans="1:10" x14ac:dyDescent="0.25">
      <c r="A429" s="182"/>
      <c r="B429" s="196"/>
      <c r="C429" s="31" t="s">
        <v>22</v>
      </c>
      <c r="D429" s="32">
        <f>D19+D20+D21+D22+D23+D24+D76+D92+D120+D140+D141+D175+D190+D191+D221+D253+D288+D313+D359+D377+D392+D314</f>
        <v>60152.2</v>
      </c>
      <c r="E429" s="32">
        <f>E19+E20+E21+E22+E23+E24+E76+E92+E120+E140+E141+E175+E190+E191+E221+E253+E288+E313+E359+E377+E392+E314</f>
        <v>55585.799999999988</v>
      </c>
      <c r="F429" s="68">
        <f t="shared" si="28"/>
        <v>92.408590209501881</v>
      </c>
      <c r="G429" s="32"/>
    </row>
    <row r="430" spans="1:10" s="64" customFormat="1" x14ac:dyDescent="0.25">
      <c r="A430" s="183"/>
      <c r="B430" s="197"/>
      <c r="C430" s="36" t="s">
        <v>24</v>
      </c>
      <c r="D430" s="37">
        <f>D428+D429</f>
        <v>63316.7</v>
      </c>
      <c r="E430" s="37">
        <f>E428+E429</f>
        <v>58750.299999999988</v>
      </c>
      <c r="F430" s="72">
        <f t="shared" si="28"/>
        <v>92.7880006380623</v>
      </c>
      <c r="G430" s="37"/>
      <c r="H430" s="63"/>
      <c r="J430" s="65"/>
    </row>
    <row r="431" spans="1:10" ht="15.75" customHeight="1" x14ac:dyDescent="0.25">
      <c r="A431" s="181" t="s">
        <v>10</v>
      </c>
      <c r="B431" s="195"/>
      <c r="C431" s="31" t="s">
        <v>21</v>
      </c>
      <c r="D431" s="62">
        <f>D145+D198+D223+D321++D323</f>
        <v>23128.600000000002</v>
      </c>
      <c r="E431" s="62">
        <f>E145+E198+E223+E321++E323</f>
        <v>20781.800000000003</v>
      </c>
      <c r="F431" s="68">
        <f t="shared" si="28"/>
        <v>89.853255277016345</v>
      </c>
      <c r="G431" s="32"/>
      <c r="H431" s="33">
        <f>19402.6-D431</f>
        <v>-3726.0000000000036</v>
      </c>
      <c r="I431" s="34">
        <f>17056.18-E431</f>
        <v>-3725.6200000000026</v>
      </c>
    </row>
    <row r="432" spans="1:10" x14ac:dyDescent="0.25">
      <c r="A432" s="182"/>
      <c r="B432" s="196"/>
      <c r="C432" s="31" t="s">
        <v>22</v>
      </c>
      <c r="D432" s="32">
        <f>D31+D32+D33+D34+D35+D79+D94+D95+D96+D122+D146+D147+D177+D199+D224+D240+D255+D256+D290+D322+D325+D363+D379+D36+D97+D324</f>
        <v>32653.600000000002</v>
      </c>
      <c r="E432" s="32">
        <f>E31+E32+E33+E34+E35+E79+E94+E95+E96+E122+E146+E147+E177+E199+E224+E240+E255+E256+E290+E322+E325+E363+E379+E36+E97+E324</f>
        <v>28996.100000000006</v>
      </c>
      <c r="F432" s="68">
        <f t="shared" si="28"/>
        <v>88.799091064997441</v>
      </c>
      <c r="G432" s="32"/>
      <c r="H432" s="33"/>
      <c r="I432" s="34"/>
    </row>
    <row r="433" spans="1:10" s="64" customFormat="1" ht="12.75" customHeight="1" x14ac:dyDescent="0.25">
      <c r="A433" s="183"/>
      <c r="B433" s="197"/>
      <c r="C433" s="36" t="s">
        <v>24</v>
      </c>
      <c r="D433" s="37">
        <f>D431+D432</f>
        <v>55782.200000000004</v>
      </c>
      <c r="E433" s="37">
        <f>E431+E432</f>
        <v>49777.900000000009</v>
      </c>
      <c r="F433" s="72">
        <f t="shared" si="28"/>
        <v>89.23617211225087</v>
      </c>
      <c r="G433" s="37"/>
      <c r="H433" s="63"/>
      <c r="J433" s="65"/>
    </row>
    <row r="434" spans="1:10" ht="15.75" customHeight="1" x14ac:dyDescent="0.25">
      <c r="A434" s="181" t="s">
        <v>11</v>
      </c>
      <c r="B434" s="195"/>
      <c r="C434" s="31" t="s">
        <v>21</v>
      </c>
      <c r="D434" s="62">
        <f>D142+D192+D194+D315+D318+D360</f>
        <v>11832.300000000001</v>
      </c>
      <c r="E434" s="62">
        <f>E142+E192+E194+E315+E318+E360</f>
        <v>11708.050000000001</v>
      </c>
      <c r="F434" s="68">
        <f t="shared" si="28"/>
        <v>98.949908301851707</v>
      </c>
      <c r="G434" s="32"/>
      <c r="H434" s="33">
        <f>11832.3-D434</f>
        <v>0</v>
      </c>
      <c r="I434" s="34">
        <f>11708.05-E434</f>
        <v>0</v>
      </c>
    </row>
    <row r="435" spans="1:10" x14ac:dyDescent="0.25">
      <c r="A435" s="182"/>
      <c r="B435" s="196"/>
      <c r="C435" s="31" t="s">
        <v>22</v>
      </c>
      <c r="D435" s="32">
        <f>D25+D26+D27+D28+D29+D30+D78+D93+D121+D143+D144+D193+D195+D196+D197+D254+D289+D316+D317+D319+D320+D361+D362+D393</f>
        <v>34042.500000000015</v>
      </c>
      <c r="E435" s="32">
        <f>E25+E26+E27+E28+E29+E30+E78+E93+E121+E143+E144+E193+E195+E196+E197+E254+E289+E316+E317+E319+E320+E361+E362+E393</f>
        <v>32792.30000000001</v>
      </c>
      <c r="F435" s="68">
        <f t="shared" si="28"/>
        <v>96.32753176176837</v>
      </c>
      <c r="G435" s="32"/>
      <c r="H435" s="33"/>
      <c r="I435" s="34"/>
    </row>
    <row r="436" spans="1:10" s="64" customFormat="1" x14ac:dyDescent="0.25">
      <c r="A436" s="183"/>
      <c r="B436" s="197"/>
      <c r="C436" s="36" t="s">
        <v>24</v>
      </c>
      <c r="D436" s="37">
        <f>D434+D435</f>
        <v>45874.800000000017</v>
      </c>
      <c r="E436" s="37">
        <f>E434+E435</f>
        <v>44500.350000000013</v>
      </c>
      <c r="F436" s="72">
        <f t="shared" si="28"/>
        <v>97.003910643752107</v>
      </c>
      <c r="G436" s="37"/>
      <c r="H436" s="63"/>
      <c r="J436" s="65"/>
    </row>
    <row r="437" spans="1:10" ht="15.75" customHeight="1" x14ac:dyDescent="0.25">
      <c r="A437" s="181" t="s">
        <v>9</v>
      </c>
      <c r="B437" s="195"/>
      <c r="C437" s="31" t="s">
        <v>21</v>
      </c>
      <c r="D437" s="62">
        <f>D148+D270+D328+D326</f>
        <v>9413.5</v>
      </c>
      <c r="E437" s="62">
        <f>E148+E270+E328+E326</f>
        <v>5989.9</v>
      </c>
      <c r="F437" s="68">
        <f t="shared" si="28"/>
        <v>63.630955542571833</v>
      </c>
      <c r="G437" s="32"/>
      <c r="H437" s="33">
        <f>8813.5-D437</f>
        <v>-600</v>
      </c>
      <c r="I437" s="34">
        <f>5389.88-E437</f>
        <v>-600.01999999999953</v>
      </c>
    </row>
    <row r="438" spans="1:10" x14ac:dyDescent="0.25">
      <c r="A438" s="182"/>
      <c r="B438" s="196"/>
      <c r="C438" s="31" t="s">
        <v>22</v>
      </c>
      <c r="D438" s="32">
        <f>D37+D38+D39+D40+D41+D80+D98+D99+D100+D123+D149+D151+D178+D200+D241+D257+D271+D329+D364+D410+D327+D150+D272</f>
        <v>42778.200000000004</v>
      </c>
      <c r="E438" s="32">
        <f>E37+E38+E39+E40+E41+E80+E98+E99+E100+E123+E149+E151+E178+E200+E241+E257+E271+E329+E364+E410+E327+E150+E272</f>
        <v>38594</v>
      </c>
      <c r="F438" s="68">
        <f t="shared" si="28"/>
        <v>90.218849787976112</v>
      </c>
      <c r="G438" s="32"/>
    </row>
    <row r="439" spans="1:10" s="64" customFormat="1" x14ac:dyDescent="0.25">
      <c r="A439" s="183"/>
      <c r="B439" s="197"/>
      <c r="C439" s="36" t="s">
        <v>24</v>
      </c>
      <c r="D439" s="37">
        <f>D437+D438</f>
        <v>52191.700000000004</v>
      </c>
      <c r="E439" s="37">
        <f>E437+E438</f>
        <v>44583.9</v>
      </c>
      <c r="F439" s="72">
        <f t="shared" si="28"/>
        <v>85.423352755323151</v>
      </c>
      <c r="G439" s="37"/>
      <c r="H439" s="65"/>
      <c r="J439" s="65"/>
    </row>
    <row r="440" spans="1:10" ht="15.75" customHeight="1" x14ac:dyDescent="0.25">
      <c r="A440" s="181" t="s">
        <v>6</v>
      </c>
      <c r="B440" s="195"/>
      <c r="C440" s="31" t="s">
        <v>21</v>
      </c>
      <c r="D440" s="62">
        <f>D330+D152</f>
        <v>12686.099999999999</v>
      </c>
      <c r="E440" s="62">
        <f>E330+E152</f>
        <v>9193.9</v>
      </c>
      <c r="F440" s="68">
        <f t="shared" si="28"/>
        <v>72.472233389300101</v>
      </c>
      <c r="G440" s="32"/>
      <c r="H440" s="33">
        <f>12686.1-D440</f>
        <v>0</v>
      </c>
      <c r="I440" s="34">
        <f>9249.15-E440</f>
        <v>55.25</v>
      </c>
      <c r="J440" s="33" t="s">
        <v>289</v>
      </c>
    </row>
    <row r="441" spans="1:10" x14ac:dyDescent="0.25">
      <c r="A441" s="182"/>
      <c r="B441" s="196"/>
      <c r="C441" s="31" t="s">
        <v>22</v>
      </c>
      <c r="D441" s="32">
        <f>D42+D43+D44+D45+D46+D47+D101+D153+D179+D201+D202+D291+D331+D332+D333+D365+D381+D154+D155+D102</f>
        <v>39567.729999999996</v>
      </c>
      <c r="E441" s="32">
        <f>E42+E43+E44+E45+E46+E47+E101+E153+E179+E201+E202+E291+E331+E332+E333+E365+E381+E154+E155+E102</f>
        <v>39292</v>
      </c>
      <c r="F441" s="68">
        <f t="shared" si="28"/>
        <v>99.303144254168757</v>
      </c>
      <c r="G441" s="32"/>
    </row>
    <row r="442" spans="1:10" s="64" customFormat="1" x14ac:dyDescent="0.25">
      <c r="A442" s="183"/>
      <c r="B442" s="197"/>
      <c r="C442" s="36" t="s">
        <v>24</v>
      </c>
      <c r="D442" s="37">
        <f>D440+D441</f>
        <v>52253.829999999994</v>
      </c>
      <c r="E442" s="37">
        <f>E440+E441</f>
        <v>48485.9</v>
      </c>
      <c r="F442" s="72">
        <f t="shared" si="28"/>
        <v>92.789179281212512</v>
      </c>
      <c r="G442" s="37"/>
      <c r="H442" s="63"/>
      <c r="J442" s="65"/>
    </row>
    <row r="443" spans="1:10" ht="24.75" customHeight="1" x14ac:dyDescent="0.25">
      <c r="A443" s="181" t="s">
        <v>7</v>
      </c>
      <c r="B443" s="195"/>
      <c r="C443" s="31" t="s">
        <v>300</v>
      </c>
      <c r="D443" s="32">
        <f>D334</f>
        <v>720</v>
      </c>
      <c r="E443" s="32">
        <f>E334</f>
        <v>720</v>
      </c>
      <c r="F443" s="68">
        <f t="shared" si="28"/>
        <v>100</v>
      </c>
      <c r="G443" s="32"/>
    </row>
    <row r="444" spans="1:10" ht="15.75" customHeight="1" x14ac:dyDescent="0.25">
      <c r="A444" s="182"/>
      <c r="B444" s="196"/>
      <c r="C444" s="31" t="s">
        <v>21</v>
      </c>
      <c r="D444" s="62">
        <f>D156+D203+D335</f>
        <v>9665</v>
      </c>
      <c r="E444" s="62">
        <f>E156+E203+E335</f>
        <v>9219.74</v>
      </c>
      <c r="F444" s="68">
        <f t="shared" si="28"/>
        <v>95.393067770305223</v>
      </c>
      <c r="G444" s="32"/>
      <c r="H444" s="33">
        <f>8865+720-D444</f>
        <v>-80</v>
      </c>
      <c r="I444" s="34">
        <f>9140.24-E444</f>
        <v>-79.5</v>
      </c>
      <c r="J444" s="33" t="s">
        <v>284</v>
      </c>
    </row>
    <row r="445" spans="1:10" x14ac:dyDescent="0.25">
      <c r="A445" s="182"/>
      <c r="B445" s="196"/>
      <c r="C445" s="31" t="s">
        <v>22</v>
      </c>
      <c r="D445" s="32">
        <f>D48+D49+D50+D51+D52+D53+D103+D104+D125+D157+D180+D204+D292+D336+D338+D366+D382+D397+D337+D158</f>
        <v>44151</v>
      </c>
      <c r="E445" s="32">
        <f>E48+E49+E50+E51+E52+E53+E103+E104+E125+E157+E180+E204+E292+E336+E338+E366+E382+E397+E337+E158</f>
        <v>43874.100000000006</v>
      </c>
      <c r="F445" s="68">
        <f t="shared" si="28"/>
        <v>99.372834137392147</v>
      </c>
      <c r="G445" s="32"/>
      <c r="H445" s="33"/>
    </row>
    <row r="446" spans="1:10" s="64" customFormat="1" x14ac:dyDescent="0.25">
      <c r="A446" s="183"/>
      <c r="B446" s="197"/>
      <c r="C446" s="36" t="s">
        <v>24</v>
      </c>
      <c r="D446" s="37">
        <f>D444+D445+D443</f>
        <v>54536</v>
      </c>
      <c r="E446" s="37">
        <f>E444+E445</f>
        <v>53093.840000000004</v>
      </c>
      <c r="F446" s="72">
        <f t="shared" si="28"/>
        <v>97.355581634149928</v>
      </c>
      <c r="G446" s="37"/>
      <c r="H446" s="63"/>
      <c r="J446" s="65"/>
    </row>
    <row r="447" spans="1:10" ht="15.75" customHeight="1" x14ac:dyDescent="0.25">
      <c r="A447" s="181" t="s">
        <v>8</v>
      </c>
      <c r="B447" s="195"/>
      <c r="C447" s="31" t="s">
        <v>21</v>
      </c>
      <c r="D447" s="62">
        <f>D339</f>
        <v>4379.3999999999996</v>
      </c>
      <c r="E447" s="62">
        <f>E339</f>
        <v>4379.3999999999996</v>
      </c>
      <c r="F447" s="68">
        <f t="shared" si="28"/>
        <v>100</v>
      </c>
      <c r="G447" s="32"/>
      <c r="H447" s="33">
        <f>4379.4-D447</f>
        <v>0</v>
      </c>
      <c r="I447" s="34">
        <f>4379.4-E447</f>
        <v>0</v>
      </c>
    </row>
    <row r="448" spans="1:10" x14ac:dyDescent="0.25">
      <c r="A448" s="182"/>
      <c r="B448" s="196"/>
      <c r="C448" s="31" t="s">
        <v>22</v>
      </c>
      <c r="D448" s="32">
        <f>D54+D55+D56+D57+D58+D83+D105+D106+D159+D181+D205+D228+D244+D258+D293+D340+D342+D367+D398+D383+D341</f>
        <v>256078.3</v>
      </c>
      <c r="E448" s="32">
        <f>E54+E55+E56+E57+E58+E83+E105+E106+E159+E181+E205+E228+E244+E258+E293+E340+E342+E367+E398+E383+E341</f>
        <v>200451.52000000005</v>
      </c>
      <c r="F448" s="68">
        <f t="shared" si="28"/>
        <v>78.27743311323141</v>
      </c>
      <c r="G448" s="32"/>
      <c r="H448" s="33"/>
      <c r="I448" s="34"/>
    </row>
    <row r="449" spans="1:10" s="64" customFormat="1" x14ac:dyDescent="0.25">
      <c r="A449" s="183"/>
      <c r="B449" s="197"/>
      <c r="C449" s="36" t="s">
        <v>24</v>
      </c>
      <c r="D449" s="37">
        <f>D447+D448</f>
        <v>260457.69999999998</v>
      </c>
      <c r="E449" s="37">
        <f>E447+E448</f>
        <v>204830.92000000004</v>
      </c>
      <c r="F449" s="72">
        <f t="shared" si="28"/>
        <v>78.642681709928354</v>
      </c>
      <c r="G449" s="37"/>
      <c r="H449" s="63"/>
      <c r="J449" s="65"/>
    </row>
    <row r="450" spans="1:10" ht="15.75" customHeight="1" x14ac:dyDescent="0.25">
      <c r="A450" s="181" t="s">
        <v>12</v>
      </c>
      <c r="B450" s="195"/>
      <c r="C450" s="31" t="s">
        <v>21</v>
      </c>
      <c r="D450" s="62">
        <f>D164+D346</f>
        <v>5032.3</v>
      </c>
      <c r="E450" s="62">
        <f>E164+E346</f>
        <v>5017.9400000000005</v>
      </c>
      <c r="F450" s="68">
        <f t="shared" si="28"/>
        <v>99.714643403612669</v>
      </c>
      <c r="G450" s="32"/>
      <c r="H450" s="33">
        <f>5032.3-D450</f>
        <v>0</v>
      </c>
      <c r="I450" s="34">
        <f>5017.94-E450</f>
        <v>0</v>
      </c>
    </row>
    <row r="451" spans="1:10" x14ac:dyDescent="0.25">
      <c r="A451" s="182"/>
      <c r="B451" s="196"/>
      <c r="C451" s="31" t="s">
        <v>22</v>
      </c>
      <c r="D451" s="32">
        <f>D65+D66+D67+D68+D69+D85+D111+D112+D113+D165+D167+D183+D212+D230+D246+D260+D295+D347+D348+D349+D350+D369+D385+D400+D70+D166</f>
        <v>41477.1</v>
      </c>
      <c r="E451" s="32">
        <f>E65+E66+E67+E68+E69+E85+E111+E112+E113+E165+E167+E183+E212+E230+E246+E260+E295+E347+E348+E349+E350+E369+E385+E400+E70+E166</f>
        <v>40996.9</v>
      </c>
      <c r="F451" s="68">
        <f t="shared" si="28"/>
        <v>98.842252712942809</v>
      </c>
      <c r="G451" s="32"/>
    </row>
    <row r="452" spans="1:10" s="64" customFormat="1" x14ac:dyDescent="0.25">
      <c r="A452" s="183"/>
      <c r="B452" s="197"/>
      <c r="C452" s="36" t="s">
        <v>24</v>
      </c>
      <c r="D452" s="37">
        <f>D450+D451</f>
        <v>46509.4</v>
      </c>
      <c r="E452" s="37">
        <f>E450+E451</f>
        <v>46014.840000000004</v>
      </c>
      <c r="F452" s="72">
        <f t="shared" si="28"/>
        <v>98.936645065298634</v>
      </c>
      <c r="G452" s="37"/>
      <c r="H452" s="65"/>
      <c r="I452" s="109"/>
      <c r="J452" s="65"/>
    </row>
    <row r="453" spans="1:10" ht="24.75" customHeight="1" x14ac:dyDescent="0.25">
      <c r="A453" s="181" t="s">
        <v>13</v>
      </c>
      <c r="B453" s="195"/>
      <c r="C453" s="31" t="s">
        <v>300</v>
      </c>
      <c r="D453" s="32">
        <f>D276+D206</f>
        <v>5947.6</v>
      </c>
      <c r="E453" s="32">
        <f>E276+E206</f>
        <v>5703.43</v>
      </c>
      <c r="F453" s="68">
        <f t="shared" si="28"/>
        <v>95.894646580133156</v>
      </c>
      <c r="G453" s="32"/>
      <c r="H453" s="33"/>
      <c r="I453" s="34"/>
    </row>
    <row r="454" spans="1:10" ht="15.75" customHeight="1" x14ac:dyDescent="0.25">
      <c r="A454" s="182"/>
      <c r="B454" s="196"/>
      <c r="C454" s="31" t="s">
        <v>21</v>
      </c>
      <c r="D454" s="62">
        <f>D160+D207+D277+D343</f>
        <v>52989.599999999991</v>
      </c>
      <c r="E454" s="62">
        <f>E160+E207+E277+E343</f>
        <v>49354.81</v>
      </c>
      <c r="F454" s="68">
        <f t="shared" si="28"/>
        <v>93.140559656989311</v>
      </c>
      <c r="G454" s="32"/>
      <c r="H454" s="33">
        <f>52989.56+5947.63-D454</f>
        <v>5947.5900000000038</v>
      </c>
      <c r="I454" s="34">
        <f>55058.25-E454</f>
        <v>5703.4400000000023</v>
      </c>
    </row>
    <row r="455" spans="1:10" x14ac:dyDescent="0.25">
      <c r="A455" s="182"/>
      <c r="B455" s="196"/>
      <c r="C455" s="31" t="s">
        <v>22</v>
      </c>
      <c r="D455" s="32">
        <f>D59+D60+D61+D62+D63+D64+D84+D107+D127+D128+D161+D163+D182+D208+D209+D210+D211+D229+D245+D259+D278+D294+D344+D345+D368+D384+D399+D414+D108+D109+D110+D162</f>
        <v>232112.99999999997</v>
      </c>
      <c r="E455" s="32">
        <f>E59+E60+E61+E62+E63+E64+E84+E107+E127+E128+E161+E163+E182+E208+E209+E210+E211+E229+E245+E259+E278+E294+E344+E345+E368+E384+E399+E414+E108+E109+E110+E162</f>
        <v>216098.18000000005</v>
      </c>
      <c r="F455" s="68">
        <f t="shared" si="28"/>
        <v>93.100420915674732</v>
      </c>
      <c r="G455" s="32"/>
    </row>
    <row r="456" spans="1:10" s="64" customFormat="1" x14ac:dyDescent="0.25">
      <c r="A456" s="183"/>
      <c r="B456" s="197"/>
      <c r="C456" s="36" t="s">
        <v>24</v>
      </c>
      <c r="D456" s="37">
        <f>D454+D455+D453</f>
        <v>291050.19999999995</v>
      </c>
      <c r="E456" s="37">
        <f>E454+E455+E453</f>
        <v>271156.42000000004</v>
      </c>
      <c r="F456" s="72">
        <f t="shared" si="28"/>
        <v>93.164828610322232</v>
      </c>
      <c r="G456" s="37"/>
      <c r="H456" s="63"/>
      <c r="J456" s="65"/>
    </row>
    <row r="457" spans="1:10" s="108" customFormat="1" ht="24.75" customHeight="1" x14ac:dyDescent="0.25">
      <c r="A457" s="206" t="s">
        <v>26</v>
      </c>
      <c r="B457" s="207"/>
      <c r="C457" s="113" t="s">
        <v>300</v>
      </c>
      <c r="D457" s="114">
        <f>D453+D443</f>
        <v>6667.6</v>
      </c>
      <c r="E457" s="114">
        <f>E453+E443</f>
        <v>6423.43</v>
      </c>
      <c r="F457" s="115">
        <f t="shared" si="28"/>
        <v>96.33796268522407</v>
      </c>
      <c r="G457" s="114"/>
      <c r="H457" s="116"/>
      <c r="J457" s="106"/>
    </row>
    <row r="458" spans="1:10" s="108" customFormat="1" ht="15" customHeight="1" x14ac:dyDescent="0.25">
      <c r="A458" s="208"/>
      <c r="B458" s="209"/>
      <c r="C458" s="113" t="s">
        <v>21</v>
      </c>
      <c r="D458" s="114">
        <f>D419+D422+D425+D428+D431+D434+D437+D440+D444+D447+D450+D454</f>
        <v>145582.19999999998</v>
      </c>
      <c r="E458" s="114">
        <f>E419+E422+E425+E428+E431+E434+E437+E440+E444+E447+E450+E454</f>
        <v>131842.54</v>
      </c>
      <c r="F458" s="115">
        <f t="shared" si="28"/>
        <v>90.562266540827125</v>
      </c>
      <c r="G458" s="114"/>
      <c r="H458" s="116"/>
      <c r="J458" s="106"/>
    </row>
    <row r="459" spans="1:10" s="108" customFormat="1" x14ac:dyDescent="0.25">
      <c r="A459" s="208"/>
      <c r="B459" s="209"/>
      <c r="C459" s="113" t="s">
        <v>22</v>
      </c>
      <c r="D459" s="114">
        <f>D420+D423+D426+D429+D432+D435+D438+D441+D445+D448+D451+D455</f>
        <v>886934.83</v>
      </c>
      <c r="E459" s="114">
        <f>E420+E423+E426+E429+E432+E435+E438+E441+E445+E448+E451+E455</f>
        <v>798229.87000000011</v>
      </c>
      <c r="F459" s="115">
        <f t="shared" si="28"/>
        <v>89.998705992863108</v>
      </c>
      <c r="G459" s="114"/>
      <c r="H459" s="116"/>
      <c r="J459" s="106"/>
    </row>
    <row r="460" spans="1:10" s="108" customFormat="1" x14ac:dyDescent="0.25">
      <c r="A460" s="210"/>
      <c r="B460" s="211"/>
      <c r="C460" s="113" t="s">
        <v>24</v>
      </c>
      <c r="D460" s="114">
        <f>D458+D459+D457</f>
        <v>1039184.6299999999</v>
      </c>
      <c r="E460" s="114">
        <f>E458+E459+E457</f>
        <v>936495.8400000002</v>
      </c>
      <c r="F460" s="115">
        <f t="shared" si="28"/>
        <v>90.118330560758992</v>
      </c>
      <c r="G460" s="114"/>
      <c r="H460" s="116"/>
      <c r="J460" s="106"/>
    </row>
    <row r="461" spans="1:10" ht="28.5" customHeight="1" x14ac:dyDescent="0.25">
      <c r="A461" s="122"/>
      <c r="B461" s="122"/>
      <c r="C461" s="121"/>
      <c r="D461" s="90"/>
      <c r="E461" s="90"/>
      <c r="F461" s="90"/>
      <c r="G461" s="90"/>
    </row>
    <row r="462" spans="1:10" s="108" customFormat="1" ht="18.75" x14ac:dyDescent="0.25">
      <c r="A462" s="216" t="s">
        <v>419</v>
      </c>
      <c r="B462" s="216"/>
      <c r="C462" s="124"/>
      <c r="D462" s="129"/>
      <c r="E462" s="129"/>
      <c r="F462" s="129"/>
      <c r="G462" s="130" t="s">
        <v>28</v>
      </c>
      <c r="H462" s="116"/>
      <c r="J462" s="106"/>
    </row>
    <row r="463" spans="1:10" s="108" customFormat="1" ht="18.75" x14ac:dyDescent="0.25">
      <c r="A463" s="131"/>
      <c r="B463" s="132"/>
      <c r="C463" s="124"/>
      <c r="D463" s="129"/>
      <c r="E463" s="129"/>
      <c r="F463" s="129"/>
      <c r="G463" s="129"/>
      <c r="H463" s="116"/>
      <c r="J463" s="106"/>
    </row>
    <row r="464" spans="1:10" s="108" customFormat="1" x14ac:dyDescent="0.25">
      <c r="A464" s="126"/>
      <c r="B464" s="126"/>
      <c r="C464" s="127"/>
      <c r="D464" s="128"/>
      <c r="E464" s="128"/>
      <c r="F464" s="128"/>
      <c r="G464" s="128"/>
      <c r="H464" s="116"/>
      <c r="J464" s="106"/>
    </row>
    <row r="465" spans="1:7" x14ac:dyDescent="0.25">
      <c r="A465" s="214" t="s">
        <v>311</v>
      </c>
      <c r="B465" s="214"/>
    </row>
    <row r="467" spans="1:7" x14ac:dyDescent="0.25">
      <c r="A467" s="212" t="s">
        <v>320</v>
      </c>
      <c r="B467" s="213"/>
      <c r="C467" s="60" t="s">
        <v>312</v>
      </c>
      <c r="D467" s="95">
        <f>D71</f>
        <v>227377.69999999992</v>
      </c>
      <c r="E467" s="95">
        <f>E71</f>
        <v>221460.09999999992</v>
      </c>
      <c r="F467" s="32">
        <f t="shared" ref="F467:F484" si="29">E467/D467*100</f>
        <v>97.397458062070285</v>
      </c>
      <c r="G467" s="96"/>
    </row>
    <row r="468" spans="1:7" x14ac:dyDescent="0.25">
      <c r="A468" s="212" t="s">
        <v>45</v>
      </c>
      <c r="B468" s="213"/>
      <c r="C468" s="60" t="s">
        <v>312</v>
      </c>
      <c r="D468" s="95">
        <f>D86</f>
        <v>2832.5</v>
      </c>
      <c r="E468" s="95">
        <f>E86</f>
        <v>2772.6</v>
      </c>
      <c r="F468" s="32">
        <f t="shared" si="29"/>
        <v>97.885260370697253</v>
      </c>
      <c r="G468" s="96"/>
    </row>
    <row r="469" spans="1:7" x14ac:dyDescent="0.25">
      <c r="A469" s="212" t="s">
        <v>401</v>
      </c>
      <c r="B469" s="213"/>
      <c r="C469" s="60" t="s">
        <v>312</v>
      </c>
      <c r="D469" s="95">
        <f>D114</f>
        <v>4278.9999999999991</v>
      </c>
      <c r="E469" s="95">
        <f>E114</f>
        <v>4034</v>
      </c>
      <c r="F469" s="32">
        <f t="shared" si="29"/>
        <v>94.27436316896474</v>
      </c>
      <c r="G469" s="96"/>
    </row>
    <row r="470" spans="1:7" x14ac:dyDescent="0.25">
      <c r="A470" s="212" t="s">
        <v>50</v>
      </c>
      <c r="B470" s="213"/>
      <c r="C470" s="60" t="s">
        <v>312</v>
      </c>
      <c r="D470" s="95">
        <f>D130</f>
        <v>10758</v>
      </c>
      <c r="E470" s="95">
        <f>E130</f>
        <v>7870.2000000000007</v>
      </c>
      <c r="F470" s="32">
        <f t="shared" si="29"/>
        <v>73.156720580033479</v>
      </c>
      <c r="G470" s="96"/>
    </row>
    <row r="471" spans="1:7" x14ac:dyDescent="0.25">
      <c r="A471" s="212" t="s">
        <v>406</v>
      </c>
      <c r="B471" s="213"/>
      <c r="C471" s="60" t="s">
        <v>312</v>
      </c>
      <c r="D471" s="95">
        <f>D168</f>
        <v>302295.39</v>
      </c>
      <c r="E471" s="95">
        <f>E168</f>
        <v>253273.08</v>
      </c>
      <c r="F471" s="32">
        <f t="shared" si="29"/>
        <v>83.783308769611068</v>
      </c>
      <c r="G471" s="96"/>
    </row>
    <row r="472" spans="1:7" x14ac:dyDescent="0.25">
      <c r="A472" s="212" t="s">
        <v>88</v>
      </c>
      <c r="B472" s="213"/>
      <c r="C472" s="60" t="s">
        <v>312</v>
      </c>
      <c r="D472" s="95">
        <f>D184</f>
        <v>788.59999999999991</v>
      </c>
      <c r="E472" s="95">
        <f>E184</f>
        <v>81.56</v>
      </c>
      <c r="F472" s="32">
        <f t="shared" si="29"/>
        <v>10.342378899315245</v>
      </c>
      <c r="G472" s="96"/>
    </row>
    <row r="473" spans="1:7" x14ac:dyDescent="0.25">
      <c r="A473" s="212" t="s">
        <v>405</v>
      </c>
      <c r="B473" s="213"/>
      <c r="C473" s="60" t="s">
        <v>312</v>
      </c>
      <c r="D473" s="95">
        <f>D213</f>
        <v>165727.80000000002</v>
      </c>
      <c r="E473" s="95">
        <f>E213</f>
        <v>145135.72999999998</v>
      </c>
      <c r="F473" s="32">
        <f t="shared" si="29"/>
        <v>87.574764161474391</v>
      </c>
      <c r="G473" s="96"/>
    </row>
    <row r="474" spans="1:7" x14ac:dyDescent="0.25">
      <c r="A474" s="212" t="s">
        <v>89</v>
      </c>
      <c r="B474" s="213"/>
      <c r="C474" s="60" t="s">
        <v>312</v>
      </c>
      <c r="D474" s="95">
        <f>D231</f>
        <v>30245.200000000001</v>
      </c>
      <c r="E474" s="95">
        <f>E231</f>
        <v>23121.200000000001</v>
      </c>
      <c r="F474" s="32">
        <f t="shared" si="29"/>
        <v>76.445849258725346</v>
      </c>
      <c r="G474" s="96"/>
    </row>
    <row r="475" spans="1:7" x14ac:dyDescent="0.25">
      <c r="A475" s="212" t="s">
        <v>90</v>
      </c>
      <c r="B475" s="213"/>
      <c r="C475" s="60" t="s">
        <v>312</v>
      </c>
      <c r="D475" s="95">
        <f>D247</f>
        <v>7193.5</v>
      </c>
      <c r="E475" s="95">
        <f>E247</f>
        <v>4760.7000000000007</v>
      </c>
      <c r="F475" s="32">
        <f t="shared" si="29"/>
        <v>66.180579689997927</v>
      </c>
      <c r="G475" s="96"/>
    </row>
    <row r="476" spans="1:7" x14ac:dyDescent="0.25">
      <c r="A476" s="212" t="s">
        <v>91</v>
      </c>
      <c r="B476" s="213"/>
      <c r="C476" s="60" t="s">
        <v>312</v>
      </c>
      <c r="D476" s="95">
        <f>D261</f>
        <v>15193.800000000001</v>
      </c>
      <c r="E476" s="95">
        <f>E261</f>
        <v>14465.2</v>
      </c>
      <c r="F476" s="32">
        <f t="shared" si="29"/>
        <v>95.204622938303785</v>
      </c>
      <c r="G476" s="96"/>
    </row>
    <row r="477" spans="1:7" x14ac:dyDescent="0.25">
      <c r="A477" s="212" t="s">
        <v>92</v>
      </c>
      <c r="B477" s="213"/>
      <c r="C477" s="60" t="s">
        <v>312</v>
      </c>
      <c r="D477" s="95">
        <f>D280</f>
        <v>6556.3000000000011</v>
      </c>
      <c r="E477" s="95">
        <f>E280</f>
        <v>3021</v>
      </c>
      <c r="F477" s="32">
        <f t="shared" si="29"/>
        <v>46.077818281652753</v>
      </c>
      <c r="G477" s="96"/>
    </row>
    <row r="478" spans="1:7" x14ac:dyDescent="0.25">
      <c r="A478" s="212" t="s">
        <v>87</v>
      </c>
      <c r="B478" s="213"/>
      <c r="C478" s="60" t="s">
        <v>312</v>
      </c>
      <c r="D478" s="95">
        <f>D296</f>
        <v>5188.2</v>
      </c>
      <c r="E478" s="95">
        <f>E296</f>
        <v>5115.7</v>
      </c>
      <c r="F478" s="32">
        <f t="shared" si="29"/>
        <v>98.602598203615898</v>
      </c>
      <c r="G478" s="96"/>
    </row>
    <row r="479" spans="1:7" x14ac:dyDescent="0.25">
      <c r="A479" s="212" t="s">
        <v>403</v>
      </c>
      <c r="B479" s="213"/>
      <c r="C479" s="60" t="s">
        <v>312</v>
      </c>
      <c r="D479" s="95">
        <f>D351</f>
        <v>231007.93999999994</v>
      </c>
      <c r="E479" s="95">
        <f>E351</f>
        <v>222149.77000000002</v>
      </c>
      <c r="F479" s="32">
        <f t="shared" si="29"/>
        <v>96.1654261753947</v>
      </c>
      <c r="G479" s="96"/>
    </row>
    <row r="480" spans="1:7" x14ac:dyDescent="0.25">
      <c r="A480" s="212" t="s">
        <v>404</v>
      </c>
      <c r="B480" s="213"/>
      <c r="C480" s="60" t="s">
        <v>312</v>
      </c>
      <c r="D480" s="95">
        <f>D370</f>
        <v>26842</v>
      </c>
      <c r="E480" s="95">
        <f>E370</f>
        <v>26397.600000000002</v>
      </c>
      <c r="F480" s="32">
        <f t="shared" si="29"/>
        <v>98.344385664257516</v>
      </c>
      <c r="G480" s="96"/>
    </row>
    <row r="481" spans="1:7" x14ac:dyDescent="0.25">
      <c r="A481" s="212" t="s">
        <v>402</v>
      </c>
      <c r="B481" s="213"/>
      <c r="C481" s="60" t="s">
        <v>312</v>
      </c>
      <c r="D481" s="95">
        <f>D386</f>
        <v>1683.1</v>
      </c>
      <c r="E481" s="95">
        <f>E386</f>
        <v>1622.4</v>
      </c>
      <c r="F481" s="32">
        <f t="shared" si="29"/>
        <v>96.393559503297496</v>
      </c>
      <c r="G481" s="96"/>
    </row>
    <row r="482" spans="1:7" x14ac:dyDescent="0.25">
      <c r="A482" s="212" t="s">
        <v>316</v>
      </c>
      <c r="B482" s="213"/>
      <c r="C482" s="60" t="s">
        <v>312</v>
      </c>
      <c r="D482" s="95">
        <f>D401</f>
        <v>528.4</v>
      </c>
      <c r="E482" s="95">
        <f>E401</f>
        <v>528.4</v>
      </c>
      <c r="F482" s="32">
        <f t="shared" si="29"/>
        <v>100</v>
      </c>
      <c r="G482" s="96"/>
    </row>
    <row r="483" spans="1:7" x14ac:dyDescent="0.25">
      <c r="A483" s="212" t="s">
        <v>112</v>
      </c>
      <c r="B483" s="213"/>
      <c r="C483" s="60" t="s">
        <v>312</v>
      </c>
      <c r="D483" s="95">
        <f>D416</f>
        <v>687.2</v>
      </c>
      <c r="E483" s="95">
        <f>E416</f>
        <v>686.6</v>
      </c>
      <c r="F483" s="32">
        <f t="shared" si="29"/>
        <v>99.912689173457508</v>
      </c>
      <c r="G483" s="96"/>
    </row>
    <row r="484" spans="1:7" x14ac:dyDescent="0.25">
      <c r="A484" s="204" t="s">
        <v>313</v>
      </c>
      <c r="B484" s="205"/>
      <c r="C484" s="97"/>
      <c r="D484" s="58">
        <f>SUM(D467:D483)</f>
        <v>1039184.6299999999</v>
      </c>
      <c r="E484" s="58">
        <f>SUM(E467:E483)</f>
        <v>936495.83999999973</v>
      </c>
      <c r="F484" s="40">
        <f t="shared" si="29"/>
        <v>90.118330560758949</v>
      </c>
      <c r="G484" s="90"/>
    </row>
  </sheetData>
  <mergeCells count="178">
    <mergeCell ref="A462:B462"/>
    <mergeCell ref="G148:G149"/>
    <mergeCell ref="G136:G137"/>
    <mergeCell ref="G145:G146"/>
    <mergeCell ref="G156:G157"/>
    <mergeCell ref="G142:G143"/>
    <mergeCell ref="G164:G165"/>
    <mergeCell ref="G270:G271"/>
    <mergeCell ref="G203:G204"/>
    <mergeCell ref="G194:G195"/>
    <mergeCell ref="G160:G161"/>
    <mergeCell ref="G206:G208"/>
    <mergeCell ref="A401:B402"/>
    <mergeCell ref="A261:B262"/>
    <mergeCell ref="A280:B283"/>
    <mergeCell ref="A296:B297"/>
    <mergeCell ref="B276:B278"/>
    <mergeCell ref="A276:A278"/>
    <mergeCell ref="B160:B161"/>
    <mergeCell ref="A206:A211"/>
    <mergeCell ref="A201:A202"/>
    <mergeCell ref="B152:B153"/>
    <mergeCell ref="A270:A272"/>
    <mergeCell ref="A152:A155"/>
    <mergeCell ref="A1:G1"/>
    <mergeCell ref="A73:G73"/>
    <mergeCell ref="A88:G88"/>
    <mergeCell ref="A116:G116"/>
    <mergeCell ref="A132:G132"/>
    <mergeCell ref="A171:G171"/>
    <mergeCell ref="A186:G186"/>
    <mergeCell ref="A217:G217"/>
    <mergeCell ref="A234:G234"/>
    <mergeCell ref="A54:A58"/>
    <mergeCell ref="A59:A64"/>
    <mergeCell ref="A127:A128"/>
    <mergeCell ref="A111:A113"/>
    <mergeCell ref="A168:B170"/>
    <mergeCell ref="A156:A158"/>
    <mergeCell ref="A184:B185"/>
    <mergeCell ref="B194:B195"/>
    <mergeCell ref="A213:B216"/>
    <mergeCell ref="B206:B208"/>
    <mergeCell ref="B156:B157"/>
    <mergeCell ref="B203:B204"/>
    <mergeCell ref="A203:A204"/>
    <mergeCell ref="A160:A163"/>
    <mergeCell ref="G152:G153"/>
    <mergeCell ref="A484:B484"/>
    <mergeCell ref="A443:B446"/>
    <mergeCell ref="A453:B456"/>
    <mergeCell ref="A457:B460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65:B465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47:B449"/>
    <mergeCell ref="A450:B452"/>
    <mergeCell ref="A86:B87"/>
    <mergeCell ref="A114:B115"/>
    <mergeCell ref="A130:B131"/>
    <mergeCell ref="A136:A138"/>
    <mergeCell ref="B142:B143"/>
    <mergeCell ref="A148:A151"/>
    <mergeCell ref="A105:A106"/>
    <mergeCell ref="A107:A110"/>
    <mergeCell ref="A103:A104"/>
    <mergeCell ref="A101:A102"/>
    <mergeCell ref="A388:G388"/>
    <mergeCell ref="A403:G403"/>
    <mergeCell ref="A304:A307"/>
    <mergeCell ref="B304:B305"/>
    <mergeCell ref="B306:B307"/>
    <mergeCell ref="A312:A314"/>
    <mergeCell ref="B315:B316"/>
    <mergeCell ref="A330:A333"/>
    <mergeCell ref="G326:G327"/>
    <mergeCell ref="G328:G329"/>
    <mergeCell ref="B334:B336"/>
    <mergeCell ref="B339:B340"/>
    <mergeCell ref="B343:B344"/>
    <mergeCell ref="A308:A311"/>
    <mergeCell ref="B328:B329"/>
    <mergeCell ref="B330:B331"/>
    <mergeCell ref="A334:A338"/>
    <mergeCell ref="A339:A342"/>
    <mergeCell ref="G306:G307"/>
    <mergeCell ref="G323:G324"/>
    <mergeCell ref="G330:G331"/>
    <mergeCell ref="G315:G316"/>
    <mergeCell ref="G318:G319"/>
    <mergeCell ref="G343:G344"/>
    <mergeCell ref="A437:B439"/>
    <mergeCell ref="A440:B442"/>
    <mergeCell ref="B223:B224"/>
    <mergeCell ref="A145:A147"/>
    <mergeCell ref="A133:A135"/>
    <mergeCell ref="B133:B134"/>
    <mergeCell ref="B321:B322"/>
    <mergeCell ref="B299:B300"/>
    <mergeCell ref="B308:B309"/>
    <mergeCell ref="B312:B313"/>
    <mergeCell ref="A299:A303"/>
    <mergeCell ref="A321:A325"/>
    <mergeCell ref="B318:B319"/>
    <mergeCell ref="A315:A320"/>
    <mergeCell ref="B136:B137"/>
    <mergeCell ref="A418:B418"/>
    <mergeCell ref="A428:B430"/>
    <mergeCell ref="A431:B433"/>
    <mergeCell ref="A434:B436"/>
    <mergeCell ref="B360:B361"/>
    <mergeCell ref="A419:B421"/>
    <mergeCell ref="A422:B424"/>
    <mergeCell ref="A425:B427"/>
    <mergeCell ref="B323:B324"/>
    <mergeCell ref="A416:B417"/>
    <mergeCell ref="A198:A199"/>
    <mergeCell ref="B198:B199"/>
    <mergeCell ref="A6:A12"/>
    <mergeCell ref="A13:A15"/>
    <mergeCell ref="A16:A18"/>
    <mergeCell ref="A98:A100"/>
    <mergeCell ref="A31:A36"/>
    <mergeCell ref="A142:A144"/>
    <mergeCell ref="B192:B193"/>
    <mergeCell ref="A192:A197"/>
    <mergeCell ref="B148:B149"/>
    <mergeCell ref="A19:A24"/>
    <mergeCell ref="A25:A30"/>
    <mergeCell ref="B145:B146"/>
    <mergeCell ref="A164:A167"/>
    <mergeCell ref="A37:A41"/>
    <mergeCell ref="A42:A47"/>
    <mergeCell ref="A343:A345"/>
    <mergeCell ref="B326:B327"/>
    <mergeCell ref="A326:A329"/>
    <mergeCell ref="B164:B165"/>
    <mergeCell ref="A249:G249"/>
    <mergeCell ref="G339:G340"/>
    <mergeCell ref="A5:G5"/>
    <mergeCell ref="A48:A53"/>
    <mergeCell ref="G223:G224"/>
    <mergeCell ref="A351:B354"/>
    <mergeCell ref="A360:A362"/>
    <mergeCell ref="A370:B372"/>
    <mergeCell ref="A386:B387"/>
    <mergeCell ref="A263:G263"/>
    <mergeCell ref="A284:G284"/>
    <mergeCell ref="A346:A350"/>
    <mergeCell ref="B346:B347"/>
    <mergeCell ref="A298:G298"/>
    <mergeCell ref="A355:G355"/>
    <mergeCell ref="A373:G373"/>
    <mergeCell ref="A65:A70"/>
    <mergeCell ref="A255:A256"/>
    <mergeCell ref="A94:A97"/>
    <mergeCell ref="A140:A141"/>
    <mergeCell ref="A190:A191"/>
    <mergeCell ref="A223:A224"/>
    <mergeCell ref="B270:B271"/>
    <mergeCell ref="A231:B233"/>
    <mergeCell ref="A247:B248"/>
    <mergeCell ref="A71:B72"/>
  </mergeCells>
  <pageMargins left="0.78740157480314965" right="0.78740157480314965" top="1.1811023622047245" bottom="0.39370078740157483" header="0.31496062992125984" footer="0.31496062992125984"/>
  <pageSetup paperSize="9" scale="99" orientation="landscape" r:id="rId1"/>
  <headerFooter differentFirst="1">
    <oddHeader>&amp;CСтраница &amp;P</oddHeader>
  </headerFooter>
  <rowBreaks count="2" manualBreakCount="2">
    <brk id="413" max="6" man="1"/>
    <brk id="44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topLeftCell="A7" zoomScaleNormal="100" zoomScaleSheetLayoutView="100" workbookViewId="0">
      <selection activeCell="H4" sqref="H4"/>
    </sheetView>
  </sheetViews>
  <sheetFormatPr defaultRowHeight="15" x14ac:dyDescent="0.25"/>
  <cols>
    <col min="1" max="1" width="37.140625" style="45" customWidth="1"/>
    <col min="2" max="2" width="12.7109375" style="48" customWidth="1"/>
    <col min="3" max="3" width="12.28515625" style="48" customWidth="1"/>
    <col min="4" max="4" width="18.85546875" style="48" customWidth="1"/>
    <col min="5" max="5" width="17" style="48" customWidth="1"/>
    <col min="6" max="7" width="9.140625" style="45"/>
    <col min="8" max="8" width="11.42578125" style="45" bestFit="1" customWidth="1"/>
    <col min="9" max="16384" width="9.140625" style="45"/>
  </cols>
  <sheetData>
    <row r="1" spans="1:8" x14ac:dyDescent="0.25">
      <c r="A1" s="218" t="s">
        <v>222</v>
      </c>
      <c r="B1" s="218"/>
      <c r="C1" s="218"/>
      <c r="D1" s="218"/>
      <c r="E1" s="218"/>
    </row>
    <row r="3" spans="1:8" ht="45" x14ac:dyDescent="0.25">
      <c r="A3" s="46" t="s">
        <v>223</v>
      </c>
      <c r="B3" s="47" t="s">
        <v>224</v>
      </c>
      <c r="C3" s="47" t="s">
        <v>225</v>
      </c>
      <c r="D3" s="47" t="s">
        <v>226</v>
      </c>
      <c r="E3" s="47" t="s">
        <v>227</v>
      </c>
      <c r="G3" s="45">
        <f>100-94.8</f>
        <v>5.2000000000000028</v>
      </c>
    </row>
    <row r="4" spans="1:8" ht="32.25" customHeight="1" x14ac:dyDescent="0.25">
      <c r="A4" s="119" t="s">
        <v>319</v>
      </c>
      <c r="B4" s="47">
        <f>общие!D71</f>
        <v>227377.69999999992</v>
      </c>
      <c r="C4" s="47">
        <f>общие!E71</f>
        <v>221460.09999999992</v>
      </c>
      <c r="D4" s="47">
        <f>C4/B4*100</f>
        <v>97.397458062070285</v>
      </c>
      <c r="E4" s="47">
        <f>C4/C17*100</f>
        <v>23.647739855416759</v>
      </c>
    </row>
    <row r="5" spans="1:8" x14ac:dyDescent="0.25">
      <c r="A5" s="119" t="s">
        <v>45</v>
      </c>
      <c r="B5" s="47">
        <f>общие!D86</f>
        <v>2832.5</v>
      </c>
      <c r="C5" s="47">
        <f>общие!E86</f>
        <v>2772.6</v>
      </c>
      <c r="D5" s="47">
        <f t="shared" ref="D5:D17" si="0">C5/B5*100</f>
        <v>97.885260370697253</v>
      </c>
      <c r="E5" s="47">
        <f>C5/C17*100</f>
        <v>0.29606111224156639</v>
      </c>
      <c r="F5" s="48">
        <f>B5+B6+B7+B9+B11+B13+B14+B15+B16</f>
        <v>53587</v>
      </c>
      <c r="G5" s="48">
        <f>C5+C6+C7+C9+C11+C13+C14+C15+C16</f>
        <v>49109.060000000005</v>
      </c>
      <c r="H5" s="45">
        <f>G5/F5*100</f>
        <v>91.643607591393433</v>
      </c>
    </row>
    <row r="6" spans="1:8" x14ac:dyDescent="0.25">
      <c r="A6" s="119" t="s">
        <v>401</v>
      </c>
      <c r="B6" s="47">
        <f>общие!D114</f>
        <v>4278.9999999999991</v>
      </c>
      <c r="C6" s="47">
        <f>общие!E114</f>
        <v>4034</v>
      </c>
      <c r="D6" s="47">
        <f t="shared" si="0"/>
        <v>94.27436316896474</v>
      </c>
      <c r="E6" s="47">
        <f>C6/C17*100</f>
        <v>0.4307547164331238</v>
      </c>
    </row>
    <row r="7" spans="1:8" ht="30" x14ac:dyDescent="0.25">
      <c r="A7" s="119" t="s">
        <v>50</v>
      </c>
      <c r="B7" s="47">
        <f>общие!D130</f>
        <v>10758</v>
      </c>
      <c r="C7" s="47">
        <f>общие!E130</f>
        <v>7870.2000000000007</v>
      </c>
      <c r="D7" s="47">
        <f t="shared" si="0"/>
        <v>73.156720580033479</v>
      </c>
      <c r="E7" s="47">
        <f>C7/C17*100</f>
        <v>0.8403881431016289</v>
      </c>
    </row>
    <row r="8" spans="1:8" ht="33" customHeight="1" x14ac:dyDescent="0.25">
      <c r="A8" s="119" t="s">
        <v>406</v>
      </c>
      <c r="B8" s="47">
        <f>общие!D168</f>
        <v>302295.39</v>
      </c>
      <c r="C8" s="47">
        <f>общие!E168</f>
        <v>253273.08</v>
      </c>
      <c r="D8" s="47">
        <f t="shared" si="0"/>
        <v>83.783308769611068</v>
      </c>
      <c r="E8" s="47">
        <f>C8/C17*100</f>
        <v>27.044762953778843</v>
      </c>
    </row>
    <row r="9" spans="1:8" x14ac:dyDescent="0.25">
      <c r="A9" s="119" t="s">
        <v>88</v>
      </c>
      <c r="B9" s="47">
        <f>общие!D184</f>
        <v>788.59999999999991</v>
      </c>
      <c r="C9" s="47">
        <f>общие!E184</f>
        <v>81.56</v>
      </c>
      <c r="D9" s="47">
        <f t="shared" si="0"/>
        <v>10.342378899315245</v>
      </c>
      <c r="E9" s="49">
        <f>C9/C17*100</f>
        <v>8.7090616440965735E-3</v>
      </c>
    </row>
    <row r="10" spans="1:8" ht="33.75" customHeight="1" x14ac:dyDescent="0.25">
      <c r="A10" s="119" t="s">
        <v>405</v>
      </c>
      <c r="B10" s="47">
        <f>общие!D213+общие!D231+общие!D247+общие!D261+общие!D280</f>
        <v>224916.6</v>
      </c>
      <c r="C10" s="47">
        <f>общие!E213+общие!E231+общие!E247+общие!E261+общие!E280</f>
        <v>190503.83000000002</v>
      </c>
      <c r="D10" s="47">
        <f t="shared" si="0"/>
        <v>84.699764268177631</v>
      </c>
      <c r="E10" s="47">
        <f>C10/C17*100</f>
        <v>20.342197142060989</v>
      </c>
    </row>
    <row r="11" spans="1:8" x14ac:dyDescent="0.25">
      <c r="A11" s="119" t="s">
        <v>87</v>
      </c>
      <c r="B11" s="47">
        <f>общие!D296</f>
        <v>5188.2</v>
      </c>
      <c r="C11" s="47">
        <f>общие!E296</f>
        <v>5115.7</v>
      </c>
      <c r="D11" s="47">
        <f t="shared" si="0"/>
        <v>98.602598203615898</v>
      </c>
      <c r="E11" s="47">
        <f>C11/C17*100</f>
        <v>0.54625976768887741</v>
      </c>
    </row>
    <row r="12" spans="1:8" x14ac:dyDescent="0.25">
      <c r="A12" s="119" t="s">
        <v>403</v>
      </c>
      <c r="B12" s="47">
        <f>общие!D351</f>
        <v>231007.93999999994</v>
      </c>
      <c r="C12" s="47">
        <f>общие!E351</f>
        <v>222149.77000000002</v>
      </c>
      <c r="D12" s="47">
        <f t="shared" si="0"/>
        <v>96.1654261753947</v>
      </c>
      <c r="E12" s="47">
        <f>C12/C17*100</f>
        <v>23.721383535457036</v>
      </c>
    </row>
    <row r="13" spans="1:8" ht="18.75" customHeight="1" x14ac:dyDescent="0.25">
      <c r="A13" s="119" t="s">
        <v>404</v>
      </c>
      <c r="B13" s="47">
        <f>общие!D370</f>
        <v>26842</v>
      </c>
      <c r="C13" s="47">
        <f>общие!E370</f>
        <v>26397.600000000002</v>
      </c>
      <c r="D13" s="47">
        <f t="shared" si="0"/>
        <v>98.344385664257516</v>
      </c>
      <c r="E13" s="47">
        <f>C13/C17*100</f>
        <v>2.818763188526284</v>
      </c>
    </row>
    <row r="14" spans="1:8" x14ac:dyDescent="0.25">
      <c r="A14" s="119" t="s">
        <v>402</v>
      </c>
      <c r="B14" s="47">
        <f>общие!D386</f>
        <v>1683.1</v>
      </c>
      <c r="C14" s="47">
        <f>общие!E386</f>
        <v>1622.4</v>
      </c>
      <c r="D14" s="47">
        <f t="shared" si="0"/>
        <v>96.393559503297496</v>
      </c>
      <c r="E14" s="47">
        <f>C14/C17*100</f>
        <v>0.17324155972759048</v>
      </c>
    </row>
    <row r="15" spans="1:8" ht="45" x14ac:dyDescent="0.25">
      <c r="A15" s="119" t="s">
        <v>187</v>
      </c>
      <c r="B15" s="47">
        <f>общие!D401</f>
        <v>528.4</v>
      </c>
      <c r="C15" s="47">
        <f>общие!E401</f>
        <v>528.4</v>
      </c>
      <c r="D15" s="47">
        <f t="shared" si="0"/>
        <v>100</v>
      </c>
      <c r="E15" s="50">
        <f>C15/C17*100</f>
        <v>5.6423101676564842E-2</v>
      </c>
    </row>
    <row r="16" spans="1:8" x14ac:dyDescent="0.25">
      <c r="A16" s="119" t="s">
        <v>112</v>
      </c>
      <c r="B16" s="47">
        <f>общие!D416</f>
        <v>687.2</v>
      </c>
      <c r="C16" s="47">
        <f>общие!E416</f>
        <v>686.6</v>
      </c>
      <c r="D16" s="47">
        <f t="shared" si="0"/>
        <v>99.912689173457508</v>
      </c>
      <c r="E16" s="50">
        <f>C16/C17*100</f>
        <v>7.3315862246649183E-2</v>
      </c>
    </row>
    <row r="17" spans="1:5" x14ac:dyDescent="0.25">
      <c r="A17" s="46" t="s">
        <v>228</v>
      </c>
      <c r="B17" s="47">
        <f>SUM(B4:B16)</f>
        <v>1039184.6299999998</v>
      </c>
      <c r="C17" s="47">
        <f>SUM(C4:C16)</f>
        <v>936495.83999999985</v>
      </c>
      <c r="D17" s="47">
        <f t="shared" si="0"/>
        <v>90.118330560758977</v>
      </c>
      <c r="E17" s="47"/>
    </row>
  </sheetData>
  <mergeCells count="1">
    <mergeCell ref="A1:E1"/>
  </mergeCells>
  <pageMargins left="0.7" right="0.7" top="0.75" bottom="0.75" header="0.3" footer="0.3"/>
  <pageSetup paperSize="9" scale="8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СВОД</vt:lpstr>
      <vt:lpstr>общие</vt:lpstr>
      <vt:lpstr>уд. вес</vt:lpstr>
      <vt:lpstr>общие!Заголовки_для_печати</vt:lpstr>
      <vt:lpstr>СВОД!Заголовки_для_печати</vt:lpstr>
      <vt:lpstr>общие!Область_печати</vt:lpstr>
      <vt:lpstr>СВОД!Область_печати</vt:lpstr>
      <vt:lpstr>'уд. вес'!Область_печати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Lubnina</dc:creator>
  <cp:lastModifiedBy>Economik</cp:lastModifiedBy>
  <cp:lastPrinted>2018-02-28T06:43:19Z</cp:lastPrinted>
  <dcterms:created xsi:type="dcterms:W3CDTF">2012-11-13T08:43:34Z</dcterms:created>
  <dcterms:modified xsi:type="dcterms:W3CDTF">2018-03-01T08:44:29Z</dcterms:modified>
</cp:coreProperties>
</file>